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workbookProtection workbookPassword="C858" lockStructure="1"/>
  <bookViews>
    <workbookView xWindow="1140" yWindow="405" windowWidth="19020" windowHeight="10410" tabRatio="760"/>
  </bookViews>
  <sheets>
    <sheet name="Instructions" sheetId="4" r:id="rId1"/>
    <sheet name="Entrants" sheetId="1" r:id="rId2"/>
    <sheet name="Cost Calc" sheetId="2" r:id="rId3"/>
    <sheet name="Group" sheetId="3" r:id="rId4"/>
    <sheet name="Supplementary" sheetId="10" r:id="rId5"/>
    <sheet name="Team Data" sheetId="5" r:id="rId6"/>
    <sheet name="Entrant Data" sheetId="6" r:id="rId7"/>
    <sheet name="CampOnly Data" sheetId="7" r:id="rId8"/>
    <sheet name="Error Report" sheetId="8" r:id="rId9"/>
    <sheet name="LastYrList" sheetId="11" state="hidden" r:id="rId10"/>
  </sheets>
  <definedNames>
    <definedName name="Major_Errors">Entrants!$BJ$45</definedName>
    <definedName name="_xlnm.Print_Area" localSheetId="7">'CampOnly Data'!$A$1:$F$15</definedName>
    <definedName name="_xlnm.Print_Area" localSheetId="2">'Cost Calc'!$E$2:$AH$52</definedName>
    <definedName name="_xlnm.Print_Area" localSheetId="6">'Entrant Data'!$A$1:$AQ$60</definedName>
    <definedName name="_xlnm.Print_Area" localSheetId="1">Entrants!$B$2:$Z$43</definedName>
    <definedName name="_xlnm.Print_Area" localSheetId="8">'Error Report'!$A:$C</definedName>
    <definedName name="_xlnm.Print_Area" localSheetId="3">Group!$A$2:$I$39</definedName>
    <definedName name="_xlnm.Print_Area" localSheetId="0">Instructions!$A$10:$C$37</definedName>
    <definedName name="_xlnm.Print_Area" localSheetId="4">Supplementary!$A$1:$AB$46</definedName>
    <definedName name="_xlnm.Print_Area" localSheetId="5">'Team Data'!$A$1:$S$2</definedName>
    <definedName name="Q_Date">Entrants!$AH$5</definedName>
    <definedName name="Youngest_Entrant_Age">Entrants!$AM$6</definedName>
    <definedName name="Youngest_Entrant_DoB">Entrants!$AG$6</definedName>
    <definedName name="Youngest_FB_Age">Entrants!$AM$8</definedName>
    <definedName name="Youngest_FB_DoB">Entrants!$AG$8</definedName>
    <definedName name="Youngest_SB_Age">Entrants!$AM$7</definedName>
    <definedName name="Youngest_SB_DoB">Entrants!$AG$7</definedName>
  </definedNames>
  <calcPr calcId="145621"/>
</workbook>
</file>

<file path=xl/calcChain.xml><?xml version="1.0" encoding="utf-8"?>
<calcChain xmlns="http://schemas.openxmlformats.org/spreadsheetml/2006/main">
  <c r="AN18" i="10" l="1"/>
  <c r="AN19" i="10"/>
  <c r="AN20" i="10"/>
  <c r="AN21" i="10"/>
  <c r="AN22" i="10"/>
  <c r="AN23" i="10"/>
  <c r="AN24" i="10"/>
  <c r="AN25" i="10"/>
  <c r="AN26" i="10"/>
  <c r="AN27" i="10"/>
  <c r="AN28" i="10"/>
  <c r="AN29" i="10"/>
  <c r="AN30" i="10"/>
  <c r="AN31" i="10"/>
  <c r="AN32" i="10"/>
  <c r="AN33" i="10"/>
  <c r="AN34" i="10"/>
  <c r="AN35" i="10"/>
  <c r="AN36" i="10"/>
  <c r="AN37" i="10"/>
  <c r="AN38" i="10"/>
  <c r="AN39" i="10"/>
  <c r="AN40" i="10"/>
  <c r="AN41" i="10"/>
  <c r="AN42" i="10"/>
  <c r="AN43" i="10"/>
  <c r="AN17" i="10"/>
  <c r="AT17" i="1"/>
  <c r="AL17" i="1"/>
  <c r="AO17" i="1" s="1"/>
  <c r="AO43"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17" i="1"/>
  <c r="AL18" i="1"/>
  <c r="AO18" i="1" s="1"/>
  <c r="AL19" i="1"/>
  <c r="AO19" i="1" s="1"/>
  <c r="AL20" i="1"/>
  <c r="AO20" i="1" s="1"/>
  <c r="AL21" i="1"/>
  <c r="AO21" i="1" s="1"/>
  <c r="AL22" i="1"/>
  <c r="AO22" i="1" s="1"/>
  <c r="AL23" i="1"/>
  <c r="AO23" i="1" s="1"/>
  <c r="AL24" i="1"/>
  <c r="AO24" i="1" s="1"/>
  <c r="AL25" i="1"/>
  <c r="AO25" i="1" s="1"/>
  <c r="AL26" i="1"/>
  <c r="AO26" i="1" s="1"/>
  <c r="AL27" i="1"/>
  <c r="AO27" i="1" s="1"/>
  <c r="AL28" i="1"/>
  <c r="AO28" i="1" s="1"/>
  <c r="AL29" i="1"/>
  <c r="AO29" i="1" s="1"/>
  <c r="AL30" i="1"/>
  <c r="AO30" i="1" s="1"/>
  <c r="AL31" i="1"/>
  <c r="AO31" i="1" s="1"/>
  <c r="AL32" i="1"/>
  <c r="AO32" i="1" s="1"/>
  <c r="AL33" i="1"/>
  <c r="AO33" i="1" s="1"/>
  <c r="AL34" i="1"/>
  <c r="AO34" i="1" s="1"/>
  <c r="AL35" i="1"/>
  <c r="AO35" i="1" s="1"/>
  <c r="AL36" i="1"/>
  <c r="AO36" i="1" s="1"/>
  <c r="AL37" i="1"/>
  <c r="AO37" i="1" s="1"/>
  <c r="AL38" i="1"/>
  <c r="AO38" i="1" s="1"/>
  <c r="AL39" i="1"/>
  <c r="AO39" i="1" s="1"/>
  <c r="AL40" i="1"/>
  <c r="AO40" i="1" s="1"/>
  <c r="AL41" i="1"/>
  <c r="AO41" i="1" s="1"/>
  <c r="AL42" i="1"/>
  <c r="AO42" i="1" s="1"/>
  <c r="AL43" i="1"/>
  <c r="J17" i="11" l="1"/>
  <c r="I17" i="11"/>
  <c r="H17" i="11"/>
  <c r="K17" i="11" s="1"/>
  <c r="J18" i="11"/>
  <c r="I18" i="11"/>
  <c r="H18" i="11"/>
  <c r="K18" i="11" s="1"/>
  <c r="J19" i="11"/>
  <c r="I19" i="11"/>
  <c r="H19" i="11"/>
  <c r="K19" i="11" s="1"/>
  <c r="J20" i="11"/>
  <c r="I20" i="11"/>
  <c r="H20" i="11"/>
  <c r="K20" i="11" s="1"/>
  <c r="J21" i="11"/>
  <c r="I21" i="11"/>
  <c r="H21" i="11"/>
  <c r="K21" i="11" s="1"/>
  <c r="J22" i="11"/>
  <c r="I22" i="11"/>
  <c r="H22" i="11"/>
  <c r="K22" i="11" s="1"/>
  <c r="J23" i="11"/>
  <c r="I23" i="11"/>
  <c r="H23" i="11"/>
  <c r="K23" i="11" s="1"/>
  <c r="J24" i="11"/>
  <c r="I24" i="11"/>
  <c r="H24" i="11"/>
  <c r="K24" i="11" s="1"/>
  <c r="J25" i="11"/>
  <c r="I25" i="11"/>
  <c r="H25" i="11"/>
  <c r="K25" i="11" s="1"/>
  <c r="J26" i="11"/>
  <c r="I26" i="11"/>
  <c r="H26" i="11"/>
  <c r="K26" i="11" s="1"/>
  <c r="J27" i="11"/>
  <c r="I27" i="11"/>
  <c r="H27" i="11"/>
  <c r="K27" i="11" s="1"/>
  <c r="J28" i="11"/>
  <c r="I28" i="11"/>
  <c r="H28" i="11"/>
  <c r="K28" i="11" s="1"/>
  <c r="J29" i="11"/>
  <c r="I29" i="11"/>
  <c r="H29" i="11"/>
  <c r="K29" i="11" s="1"/>
  <c r="J30" i="11"/>
  <c r="I30" i="11"/>
  <c r="H30" i="11"/>
  <c r="K30" i="11" s="1"/>
  <c r="J31" i="11"/>
  <c r="I31" i="11"/>
  <c r="H31" i="11"/>
  <c r="K31" i="11" s="1"/>
  <c r="J32" i="11"/>
  <c r="I32" i="11"/>
  <c r="H32" i="11"/>
  <c r="K32" i="11" s="1"/>
  <c r="J33" i="11"/>
  <c r="I33" i="11"/>
  <c r="H33" i="11"/>
  <c r="K33" i="11" s="1"/>
  <c r="J34" i="11"/>
  <c r="I34" i="11"/>
  <c r="H34" i="11"/>
  <c r="K34" i="11" s="1"/>
  <c r="J35" i="11"/>
  <c r="I35" i="11"/>
  <c r="H35" i="11"/>
  <c r="K35" i="11" s="1"/>
  <c r="J36" i="11"/>
  <c r="I36" i="11"/>
  <c r="H36" i="11"/>
  <c r="K36" i="11" s="1"/>
  <c r="J37" i="11"/>
  <c r="I37" i="11"/>
  <c r="H37" i="11"/>
  <c r="K37" i="11" s="1"/>
  <c r="J38" i="11"/>
  <c r="I38" i="11"/>
  <c r="H38" i="11"/>
  <c r="K38" i="11" s="1"/>
  <c r="J39" i="11"/>
  <c r="I39" i="11"/>
  <c r="H39" i="11"/>
  <c r="K39" i="11" s="1"/>
  <c r="J40" i="11"/>
  <c r="I40" i="11"/>
  <c r="H40" i="11"/>
  <c r="K40" i="11" s="1"/>
  <c r="J41" i="11"/>
  <c r="I41" i="11"/>
  <c r="H41" i="11"/>
  <c r="K41" i="11" s="1"/>
  <c r="J42" i="11"/>
  <c r="I42" i="11"/>
  <c r="H42" i="11"/>
  <c r="K42" i="11" s="1"/>
  <c r="J43" i="11"/>
  <c r="I43" i="11"/>
  <c r="H43" i="11"/>
  <c r="K43" i="11" s="1"/>
  <c r="J44" i="11"/>
  <c r="I44" i="11"/>
  <c r="H44" i="11"/>
  <c r="K44" i="11" s="1"/>
  <c r="J45" i="11"/>
  <c r="I45" i="11"/>
  <c r="H45" i="11"/>
  <c r="K45" i="11" s="1"/>
  <c r="J46" i="11"/>
  <c r="I46" i="11"/>
  <c r="H46" i="11"/>
  <c r="K46" i="11" s="1"/>
  <c r="J47" i="11"/>
  <c r="I47" i="11"/>
  <c r="H47" i="11"/>
  <c r="K47" i="11" s="1"/>
  <c r="J48" i="11"/>
  <c r="I48" i="11"/>
  <c r="H48" i="11"/>
  <c r="K48" i="11" s="1"/>
  <c r="J49" i="11"/>
  <c r="I49" i="11"/>
  <c r="H49" i="11"/>
  <c r="K49" i="11" s="1"/>
  <c r="J50" i="11"/>
  <c r="I50" i="11"/>
  <c r="H50" i="11"/>
  <c r="K50" i="11" s="1"/>
  <c r="J51" i="11"/>
  <c r="I51" i="11"/>
  <c r="H51" i="11"/>
  <c r="K51" i="11" s="1"/>
  <c r="J52" i="11"/>
  <c r="I52" i="11"/>
  <c r="H52" i="11"/>
  <c r="K52" i="11" s="1"/>
  <c r="J53" i="11"/>
  <c r="I53" i="11"/>
  <c r="H53" i="11"/>
  <c r="K53" i="11" s="1"/>
  <c r="J54" i="11"/>
  <c r="I54" i="11"/>
  <c r="H54" i="11"/>
  <c r="K54" i="11" s="1"/>
  <c r="J55" i="11"/>
  <c r="I55" i="11"/>
  <c r="H55" i="11"/>
  <c r="K55" i="11" s="1"/>
  <c r="J56" i="11"/>
  <c r="I56" i="11"/>
  <c r="H56" i="11"/>
  <c r="K56" i="11" s="1"/>
  <c r="J57" i="11"/>
  <c r="I57" i="11"/>
  <c r="H57" i="11"/>
  <c r="K57" i="11" s="1"/>
  <c r="J58" i="11"/>
  <c r="I58" i="11"/>
  <c r="H58" i="11"/>
  <c r="K58" i="11" s="1"/>
  <c r="J59" i="11"/>
  <c r="I59" i="11"/>
  <c r="H59" i="11"/>
  <c r="K59" i="11" s="1"/>
  <c r="J60" i="11"/>
  <c r="I60" i="11"/>
  <c r="H60" i="11"/>
  <c r="K60" i="11" s="1"/>
  <c r="J61" i="11"/>
  <c r="I61" i="11"/>
  <c r="H61" i="11"/>
  <c r="K61" i="11" s="1"/>
  <c r="J62" i="11"/>
  <c r="I62" i="11"/>
  <c r="H62" i="11"/>
  <c r="K62" i="11" s="1"/>
  <c r="J63" i="11"/>
  <c r="I63" i="11"/>
  <c r="H63" i="11"/>
  <c r="K63" i="11" s="1"/>
  <c r="J64" i="11"/>
  <c r="I64" i="11"/>
  <c r="H64" i="11"/>
  <c r="K64" i="11" s="1"/>
  <c r="J65" i="11"/>
  <c r="I65" i="11"/>
  <c r="H65" i="11"/>
  <c r="K65" i="11" s="1"/>
  <c r="J66" i="11"/>
  <c r="I66" i="11"/>
  <c r="H66" i="11"/>
  <c r="K66" i="11" s="1"/>
  <c r="J67" i="11"/>
  <c r="I67" i="11"/>
  <c r="H67" i="11"/>
  <c r="K67" i="11" s="1"/>
  <c r="J68" i="11"/>
  <c r="I68" i="11"/>
  <c r="H68" i="11"/>
  <c r="K68" i="11" s="1"/>
  <c r="J69" i="11"/>
  <c r="I69" i="11"/>
  <c r="H69" i="11"/>
  <c r="K69" i="11" s="1"/>
  <c r="J70" i="11"/>
  <c r="I70" i="11"/>
  <c r="H70" i="11"/>
  <c r="K70" i="11" s="1"/>
  <c r="J71" i="11"/>
  <c r="I71" i="11"/>
  <c r="H71" i="11"/>
  <c r="K71" i="11" s="1"/>
  <c r="J72" i="11"/>
  <c r="I72" i="11"/>
  <c r="H72" i="11"/>
  <c r="K72" i="11" s="1"/>
  <c r="J73" i="11"/>
  <c r="I73" i="11"/>
  <c r="H73" i="11"/>
  <c r="K73" i="11" s="1"/>
  <c r="J74" i="11"/>
  <c r="I74" i="11"/>
  <c r="H74" i="11"/>
  <c r="K74" i="11" s="1"/>
  <c r="J75" i="11"/>
  <c r="I75" i="11"/>
  <c r="H75" i="11"/>
  <c r="K75" i="11" s="1"/>
  <c r="J76" i="11"/>
  <c r="I76" i="11"/>
  <c r="H76" i="11"/>
  <c r="K76" i="11" s="1"/>
  <c r="J77" i="11"/>
  <c r="I77" i="11"/>
  <c r="H77" i="11"/>
  <c r="K77" i="11" s="1"/>
  <c r="J78" i="11"/>
  <c r="I78" i="11"/>
  <c r="H78" i="11"/>
  <c r="K78" i="11" s="1"/>
  <c r="J79" i="11"/>
  <c r="I79" i="11"/>
  <c r="H79" i="11"/>
  <c r="K79" i="11" s="1"/>
  <c r="J80" i="11"/>
  <c r="I80" i="11"/>
  <c r="H80" i="11"/>
  <c r="K80" i="11" s="1"/>
  <c r="J81" i="11"/>
  <c r="I81" i="11"/>
  <c r="H81" i="11"/>
  <c r="K81" i="11" s="1"/>
  <c r="J82" i="11"/>
  <c r="I82" i="11"/>
  <c r="H82" i="11"/>
  <c r="K82" i="11" s="1"/>
  <c r="J83" i="11"/>
  <c r="I83" i="11"/>
  <c r="H83" i="11"/>
  <c r="K83" i="11" s="1"/>
  <c r="J84" i="11"/>
  <c r="I84" i="11"/>
  <c r="H84" i="11"/>
  <c r="K84" i="11" s="1"/>
  <c r="J85" i="11"/>
  <c r="I85" i="11"/>
  <c r="H85" i="11"/>
  <c r="K85" i="11" s="1"/>
  <c r="J86" i="11"/>
  <c r="I86" i="11"/>
  <c r="H86" i="11"/>
  <c r="K86" i="11" s="1"/>
  <c r="J87" i="11"/>
  <c r="I87" i="11"/>
  <c r="H87" i="11"/>
  <c r="K87" i="11" s="1"/>
  <c r="J88" i="11"/>
  <c r="I88" i="11"/>
  <c r="H88" i="11"/>
  <c r="K88" i="11" s="1"/>
  <c r="J89" i="11"/>
  <c r="I89" i="11"/>
  <c r="H89" i="11"/>
  <c r="K89" i="11" s="1"/>
  <c r="J90" i="11"/>
  <c r="I90" i="11"/>
  <c r="H90" i="11"/>
  <c r="K90" i="11" s="1"/>
  <c r="J91" i="11"/>
  <c r="I91" i="11"/>
  <c r="H91" i="11"/>
  <c r="K91" i="11" s="1"/>
  <c r="J92" i="11"/>
  <c r="I92" i="11"/>
  <c r="H92" i="11"/>
  <c r="K92" i="11" s="1"/>
  <c r="J93" i="11"/>
  <c r="I93" i="11"/>
  <c r="H93" i="11"/>
  <c r="K93" i="11" s="1"/>
  <c r="J94" i="11"/>
  <c r="I94" i="11"/>
  <c r="H94" i="11"/>
  <c r="K94" i="11" s="1"/>
  <c r="J95" i="11"/>
  <c r="I95" i="11"/>
  <c r="H95" i="11"/>
  <c r="K95" i="11" s="1"/>
  <c r="J96" i="11"/>
  <c r="I96" i="11"/>
  <c r="H96" i="11"/>
  <c r="K96" i="11" s="1"/>
  <c r="J97" i="11"/>
  <c r="I97" i="11"/>
  <c r="H97" i="11"/>
  <c r="K97" i="11" s="1"/>
  <c r="J98" i="11"/>
  <c r="I98" i="11"/>
  <c r="H98" i="11"/>
  <c r="K98" i="11" s="1"/>
  <c r="J99" i="11"/>
  <c r="I99" i="11"/>
  <c r="H99" i="11"/>
  <c r="K99" i="11" s="1"/>
  <c r="J100" i="11"/>
  <c r="I100" i="11"/>
  <c r="H100" i="11"/>
  <c r="K100" i="11" s="1"/>
  <c r="J101" i="11"/>
  <c r="I101" i="11"/>
  <c r="H101" i="11"/>
  <c r="K101" i="11" s="1"/>
  <c r="K102" i="11"/>
  <c r="J102" i="11"/>
  <c r="I102" i="11"/>
  <c r="H102" i="11"/>
  <c r="K103" i="11"/>
  <c r="J103" i="11"/>
  <c r="I103" i="11"/>
  <c r="H103" i="11"/>
  <c r="K104" i="11"/>
  <c r="J104" i="11"/>
  <c r="I104" i="11"/>
  <c r="H104" i="11"/>
  <c r="K105" i="11"/>
  <c r="J105" i="11"/>
  <c r="I105" i="11"/>
  <c r="H105" i="11"/>
  <c r="K106" i="11"/>
  <c r="J106" i="11"/>
  <c r="I106" i="11"/>
  <c r="H106" i="11"/>
  <c r="K107" i="11"/>
  <c r="J107" i="11"/>
  <c r="I107" i="11"/>
  <c r="H107" i="11"/>
  <c r="K108" i="11"/>
  <c r="J108" i="11"/>
  <c r="I108" i="11"/>
  <c r="H108" i="11"/>
  <c r="K109" i="11"/>
  <c r="J109" i="11"/>
  <c r="I109" i="11"/>
  <c r="H109" i="11"/>
  <c r="K110" i="11"/>
  <c r="J110" i="11"/>
  <c r="I110" i="11"/>
  <c r="H110" i="11"/>
  <c r="K111" i="11"/>
  <c r="J111" i="11"/>
  <c r="I111" i="11"/>
  <c r="H111" i="11"/>
  <c r="K112" i="11"/>
  <c r="J112" i="11"/>
  <c r="I112" i="11"/>
  <c r="H112" i="11"/>
  <c r="K113" i="11"/>
  <c r="J113" i="11"/>
  <c r="I113" i="11"/>
  <c r="H113" i="11"/>
  <c r="K114" i="11"/>
  <c r="J114" i="11"/>
  <c r="I114" i="11"/>
  <c r="H114" i="11"/>
  <c r="K115" i="11"/>
  <c r="J115" i="11"/>
  <c r="I115" i="11"/>
  <c r="H115" i="11"/>
  <c r="K116" i="11"/>
  <c r="J116" i="11"/>
  <c r="I116" i="11"/>
  <c r="H116" i="11"/>
  <c r="K117" i="11"/>
  <c r="J117" i="11"/>
  <c r="I117" i="11"/>
  <c r="H117" i="11"/>
  <c r="K118" i="11"/>
  <c r="J118" i="11"/>
  <c r="I118" i="11"/>
  <c r="H118" i="11"/>
  <c r="K119" i="11"/>
  <c r="J119" i="11"/>
  <c r="I119" i="11"/>
  <c r="H119" i="11"/>
  <c r="K120" i="11"/>
  <c r="J120" i="11"/>
  <c r="I120" i="11"/>
  <c r="H120" i="11"/>
  <c r="K121" i="11"/>
  <c r="J121" i="11"/>
  <c r="I121" i="11"/>
  <c r="H121" i="11"/>
  <c r="K122" i="11"/>
  <c r="J122" i="11"/>
  <c r="I122" i="11"/>
  <c r="H122" i="11"/>
  <c r="K123" i="11"/>
  <c r="J123" i="11"/>
  <c r="I123" i="11"/>
  <c r="H123" i="11"/>
  <c r="K124" i="11"/>
  <c r="J124" i="11"/>
  <c r="I124" i="11"/>
  <c r="H124" i="11"/>
  <c r="K125" i="11"/>
  <c r="J125" i="11"/>
  <c r="I125" i="11"/>
  <c r="H125" i="11"/>
  <c r="K126" i="11"/>
  <c r="J126" i="11"/>
  <c r="I126" i="11"/>
  <c r="H126" i="11"/>
  <c r="K127" i="11"/>
  <c r="J127" i="11"/>
  <c r="I127" i="11"/>
  <c r="H127" i="11"/>
  <c r="K128" i="11"/>
  <c r="J128" i="11"/>
  <c r="I128" i="11"/>
  <c r="H128" i="11"/>
  <c r="K129" i="11"/>
  <c r="J129" i="11"/>
  <c r="I129" i="11"/>
  <c r="H129" i="11"/>
  <c r="K130" i="11"/>
  <c r="J130" i="11"/>
  <c r="I130" i="11"/>
  <c r="H130" i="11"/>
  <c r="K131" i="11"/>
  <c r="J131" i="11"/>
  <c r="I131" i="11"/>
  <c r="H131" i="11"/>
  <c r="K132" i="11"/>
  <c r="J132" i="11"/>
  <c r="I132" i="11"/>
  <c r="H132" i="11"/>
  <c r="K133" i="11"/>
  <c r="J133" i="11"/>
  <c r="I133" i="11"/>
  <c r="H133" i="11"/>
  <c r="K134" i="11"/>
  <c r="J134" i="11"/>
  <c r="I134" i="11"/>
  <c r="H134" i="11"/>
  <c r="K135" i="11"/>
  <c r="J135" i="11"/>
  <c r="I135" i="11"/>
  <c r="H135" i="11"/>
  <c r="K136" i="11"/>
  <c r="J136" i="11"/>
  <c r="I136" i="11"/>
  <c r="H136" i="11"/>
  <c r="K137" i="11"/>
  <c r="J137" i="11"/>
  <c r="I137" i="11"/>
  <c r="H137" i="11"/>
  <c r="K138" i="11"/>
  <c r="J138" i="11"/>
  <c r="I138" i="11"/>
  <c r="H138" i="11"/>
  <c r="K139" i="11"/>
  <c r="J139" i="11"/>
  <c r="I139" i="11"/>
  <c r="H139" i="11"/>
  <c r="K140" i="11"/>
  <c r="J140" i="11"/>
  <c r="I140" i="11"/>
  <c r="H140" i="11"/>
  <c r="K141" i="11"/>
  <c r="J141" i="11"/>
  <c r="I141" i="11"/>
  <c r="H141" i="11"/>
  <c r="K142" i="11"/>
  <c r="J142" i="11"/>
  <c r="I142" i="11"/>
  <c r="H142" i="11"/>
  <c r="K143" i="11"/>
  <c r="J143" i="11"/>
  <c r="I143" i="11"/>
  <c r="H143" i="11"/>
  <c r="K144" i="11"/>
  <c r="J144" i="11"/>
  <c r="I144" i="11"/>
  <c r="H144" i="11"/>
  <c r="K145" i="11"/>
  <c r="J145" i="11"/>
  <c r="I145" i="11"/>
  <c r="H145" i="11"/>
  <c r="K146" i="11"/>
  <c r="J146" i="11"/>
  <c r="I146" i="11"/>
  <c r="H146" i="11"/>
  <c r="K147" i="11"/>
  <c r="J147" i="11"/>
  <c r="I147" i="11"/>
  <c r="H147" i="11"/>
  <c r="K148" i="11"/>
  <c r="J148" i="11"/>
  <c r="I148" i="11"/>
  <c r="H148" i="11"/>
  <c r="K149" i="11"/>
  <c r="J149" i="11"/>
  <c r="I149" i="11"/>
  <c r="H149" i="11"/>
  <c r="K150" i="11"/>
  <c r="J150" i="11"/>
  <c r="I150" i="11"/>
  <c r="H150" i="11"/>
  <c r="K151" i="11"/>
  <c r="J151" i="11"/>
  <c r="I151" i="11"/>
  <c r="H151" i="11"/>
  <c r="K152" i="11"/>
  <c r="J152" i="11"/>
  <c r="I152" i="11"/>
  <c r="H152" i="11"/>
  <c r="K153" i="11"/>
  <c r="J153" i="11"/>
  <c r="I153" i="11"/>
  <c r="H153" i="11"/>
  <c r="K154" i="11"/>
  <c r="J154" i="11"/>
  <c r="I154" i="11"/>
  <c r="H154" i="11"/>
  <c r="K155" i="11"/>
  <c r="J155" i="11"/>
  <c r="I155" i="11"/>
  <c r="H155" i="11"/>
  <c r="K156" i="11"/>
  <c r="J156" i="11"/>
  <c r="I156" i="11"/>
  <c r="H156" i="11"/>
  <c r="K157" i="11"/>
  <c r="J157" i="11"/>
  <c r="I157" i="11"/>
  <c r="H157" i="11"/>
  <c r="K158" i="11"/>
  <c r="J158" i="11"/>
  <c r="I158" i="11"/>
  <c r="H158" i="11"/>
  <c r="K159" i="11"/>
  <c r="J159" i="11"/>
  <c r="I159" i="11"/>
  <c r="H159" i="11"/>
  <c r="K160" i="11"/>
  <c r="J160" i="11"/>
  <c r="I160" i="11"/>
  <c r="H160" i="11"/>
  <c r="K161" i="11"/>
  <c r="J161" i="11"/>
  <c r="I161" i="11"/>
  <c r="H161" i="11"/>
  <c r="K162" i="11"/>
  <c r="J162" i="11"/>
  <c r="I162" i="11"/>
  <c r="H162" i="11"/>
  <c r="K163" i="11"/>
  <c r="J163" i="11"/>
  <c r="I163" i="11"/>
  <c r="H163" i="11"/>
  <c r="K164" i="11"/>
  <c r="J164" i="11"/>
  <c r="I164" i="11"/>
  <c r="H164" i="11"/>
  <c r="K165" i="11"/>
  <c r="J165" i="11"/>
  <c r="I165" i="11"/>
  <c r="H165" i="11"/>
  <c r="K166" i="11"/>
  <c r="J166" i="11"/>
  <c r="I166" i="11"/>
  <c r="H166" i="11"/>
  <c r="K167" i="11"/>
  <c r="J167" i="11"/>
  <c r="I167" i="11"/>
  <c r="H167" i="11"/>
  <c r="K168" i="11"/>
  <c r="J168" i="11"/>
  <c r="I168" i="11"/>
  <c r="H168" i="11"/>
  <c r="K169" i="11"/>
  <c r="J169" i="11"/>
  <c r="I169" i="11"/>
  <c r="H169" i="11"/>
  <c r="K170" i="11"/>
  <c r="J170" i="11"/>
  <c r="I170" i="11"/>
  <c r="H170" i="11"/>
  <c r="K171" i="11"/>
  <c r="J171" i="11"/>
  <c r="I171" i="11"/>
  <c r="H171" i="11"/>
  <c r="K172" i="11"/>
  <c r="J172" i="11"/>
  <c r="I172" i="11"/>
  <c r="H172" i="11"/>
  <c r="K173" i="11"/>
  <c r="J173" i="11"/>
  <c r="I173" i="11"/>
  <c r="H173" i="11"/>
  <c r="K174" i="11"/>
  <c r="J174" i="11"/>
  <c r="I174" i="11"/>
  <c r="H174" i="11"/>
  <c r="K175" i="11"/>
  <c r="J175" i="11"/>
  <c r="I175" i="11"/>
  <c r="H175" i="11"/>
  <c r="K176" i="11"/>
  <c r="J176" i="11"/>
  <c r="I176" i="11"/>
  <c r="H176" i="11"/>
  <c r="K177" i="11"/>
  <c r="J177" i="11"/>
  <c r="I177" i="11"/>
  <c r="H177" i="11"/>
  <c r="K178" i="11"/>
  <c r="J178" i="11"/>
  <c r="I178" i="11"/>
  <c r="H178" i="11"/>
  <c r="K179" i="11"/>
  <c r="J179" i="11"/>
  <c r="I179" i="11"/>
  <c r="H179" i="11"/>
  <c r="K180" i="11"/>
  <c r="J180" i="11"/>
  <c r="I180" i="11"/>
  <c r="H180" i="11"/>
  <c r="K181" i="11"/>
  <c r="J181" i="11"/>
  <c r="I181" i="11"/>
  <c r="H181" i="11"/>
  <c r="K182" i="11"/>
  <c r="J182" i="11"/>
  <c r="I182" i="11"/>
  <c r="H182" i="11"/>
  <c r="K183" i="11"/>
  <c r="J183" i="11"/>
  <c r="I183" i="11"/>
  <c r="H183" i="11"/>
  <c r="K184" i="11"/>
  <c r="J184" i="11"/>
  <c r="I184" i="11"/>
  <c r="H184" i="11"/>
  <c r="K185" i="11"/>
  <c r="J185" i="11"/>
  <c r="I185" i="11"/>
  <c r="H185" i="11"/>
  <c r="K186" i="11"/>
  <c r="J186" i="11"/>
  <c r="I186" i="11"/>
  <c r="H186" i="11"/>
  <c r="K187" i="11"/>
  <c r="J187" i="11"/>
  <c r="I187" i="11"/>
  <c r="H187" i="11"/>
  <c r="K188" i="11"/>
  <c r="J188" i="11"/>
  <c r="I188" i="11"/>
  <c r="H188" i="11"/>
  <c r="K189" i="11"/>
  <c r="J189" i="11"/>
  <c r="I189" i="11"/>
  <c r="H189" i="11"/>
  <c r="K190" i="11"/>
  <c r="J190" i="11"/>
  <c r="I190" i="11"/>
  <c r="H190" i="11"/>
  <c r="K191" i="11"/>
  <c r="J191" i="11"/>
  <c r="I191" i="11"/>
  <c r="H191" i="11"/>
  <c r="K192" i="11"/>
  <c r="J192" i="11"/>
  <c r="I192" i="11"/>
  <c r="H192" i="11"/>
  <c r="K193" i="11"/>
  <c r="J193" i="11"/>
  <c r="I193" i="11"/>
  <c r="H193" i="11"/>
  <c r="K194" i="11"/>
  <c r="J194" i="11"/>
  <c r="I194" i="11"/>
  <c r="H194" i="11"/>
  <c r="K195" i="11"/>
  <c r="J195" i="11"/>
  <c r="I195" i="11"/>
  <c r="H195" i="11"/>
  <c r="K196" i="11"/>
  <c r="J196" i="11"/>
  <c r="I196" i="11"/>
  <c r="H196" i="11"/>
  <c r="K197" i="11"/>
  <c r="J197" i="11"/>
  <c r="I197" i="11"/>
  <c r="H197" i="11"/>
  <c r="K198" i="11"/>
  <c r="J198" i="11"/>
  <c r="I198" i="11"/>
  <c r="H198" i="11"/>
  <c r="K199" i="11"/>
  <c r="J199" i="11"/>
  <c r="I199" i="11"/>
  <c r="H199" i="11"/>
  <c r="K200" i="11"/>
  <c r="J200" i="11"/>
  <c r="I200" i="11"/>
  <c r="H200" i="11"/>
  <c r="K201" i="11"/>
  <c r="J201" i="11"/>
  <c r="I201" i="11"/>
  <c r="H201" i="11"/>
  <c r="K202" i="11"/>
  <c r="J202" i="11"/>
  <c r="I202" i="11"/>
  <c r="H202" i="11"/>
  <c r="K203" i="11"/>
  <c r="J203" i="11"/>
  <c r="I203" i="11"/>
  <c r="H203" i="11"/>
  <c r="K204" i="11"/>
  <c r="J204" i="11"/>
  <c r="I204" i="11"/>
  <c r="H204" i="11"/>
  <c r="K205" i="11"/>
  <c r="J205" i="11"/>
  <c r="I205" i="11"/>
  <c r="H205" i="11"/>
  <c r="K206" i="11"/>
  <c r="J206" i="11"/>
  <c r="I206" i="11"/>
  <c r="H206" i="11"/>
  <c r="K207" i="11"/>
  <c r="J207" i="11"/>
  <c r="I207" i="11"/>
  <c r="H207" i="11"/>
  <c r="K208" i="11"/>
  <c r="J208" i="11"/>
  <c r="I208" i="11"/>
  <c r="H208" i="11"/>
  <c r="K209" i="11"/>
  <c r="J209" i="11"/>
  <c r="I209" i="11"/>
  <c r="H209" i="11"/>
  <c r="K210" i="11"/>
  <c r="J210" i="11"/>
  <c r="I210" i="11"/>
  <c r="H210" i="11"/>
  <c r="K211" i="11"/>
  <c r="J211" i="11"/>
  <c r="I211" i="11"/>
  <c r="H211" i="11"/>
  <c r="K212" i="11"/>
  <c r="J212" i="11"/>
  <c r="I212" i="11"/>
  <c r="H212" i="11"/>
  <c r="K213" i="11"/>
  <c r="J213" i="11"/>
  <c r="I213" i="11"/>
  <c r="H213" i="11"/>
  <c r="K214" i="11"/>
  <c r="J214" i="11"/>
  <c r="I214" i="11"/>
  <c r="H214" i="11"/>
  <c r="K215" i="11"/>
  <c r="J215" i="11"/>
  <c r="I215" i="11"/>
  <c r="H215" i="11"/>
  <c r="K216" i="11"/>
  <c r="J216" i="11"/>
  <c r="I216" i="11"/>
  <c r="H216" i="11"/>
  <c r="K217" i="11"/>
  <c r="J217" i="11"/>
  <c r="I217" i="11"/>
  <c r="H217" i="11"/>
  <c r="K218" i="11"/>
  <c r="J218" i="11"/>
  <c r="I218" i="11"/>
  <c r="H218" i="11"/>
  <c r="K219" i="11"/>
  <c r="J219" i="11"/>
  <c r="I219" i="11"/>
  <c r="H219" i="11"/>
  <c r="K220" i="11"/>
  <c r="J220" i="11"/>
  <c r="I220" i="11"/>
  <c r="H220" i="11"/>
  <c r="K221" i="11"/>
  <c r="J221" i="11"/>
  <c r="I221" i="11"/>
  <c r="H221" i="11"/>
  <c r="K222" i="11"/>
  <c r="J222" i="11"/>
  <c r="I222" i="11"/>
  <c r="H222" i="11"/>
  <c r="K223" i="11"/>
  <c r="J223" i="11"/>
  <c r="I223" i="11"/>
  <c r="H223" i="11"/>
  <c r="K224" i="11"/>
  <c r="J224" i="11"/>
  <c r="I224" i="11"/>
  <c r="H224" i="11"/>
  <c r="K225" i="11"/>
  <c r="J225" i="11"/>
  <c r="I225" i="11"/>
  <c r="H225" i="11"/>
  <c r="K226" i="11"/>
  <c r="J226" i="11"/>
  <c r="I226" i="11"/>
  <c r="H226" i="11"/>
  <c r="K227" i="11"/>
  <c r="J227" i="11"/>
  <c r="I227" i="11"/>
  <c r="H227" i="11"/>
  <c r="K228" i="11"/>
  <c r="J228" i="11"/>
  <c r="I228" i="11"/>
  <c r="H228" i="11"/>
  <c r="K229" i="11"/>
  <c r="J229" i="11"/>
  <c r="I229" i="11"/>
  <c r="H229" i="11"/>
  <c r="K230" i="11"/>
  <c r="J230" i="11"/>
  <c r="I230" i="11"/>
  <c r="H230" i="11"/>
  <c r="K231" i="11"/>
  <c r="J231" i="11"/>
  <c r="I231" i="11"/>
  <c r="H231" i="11"/>
  <c r="K232" i="11"/>
  <c r="J232" i="11"/>
  <c r="I232" i="11"/>
  <c r="H232" i="11"/>
  <c r="K233" i="11"/>
  <c r="J233" i="11"/>
  <c r="I233" i="11"/>
  <c r="H233" i="11"/>
  <c r="K234" i="11"/>
  <c r="J234" i="11"/>
  <c r="I234" i="11"/>
  <c r="H234" i="11"/>
  <c r="K235" i="11"/>
  <c r="J235" i="11"/>
  <c r="I235" i="11"/>
  <c r="H235" i="11"/>
  <c r="K236" i="11"/>
  <c r="J236" i="11"/>
  <c r="I236" i="11"/>
  <c r="H236" i="11"/>
  <c r="K237" i="11"/>
  <c r="J237" i="11"/>
  <c r="I237" i="11"/>
  <c r="H237" i="11"/>
  <c r="K238" i="11"/>
  <c r="J238" i="11"/>
  <c r="I238" i="11"/>
  <c r="H238" i="11"/>
  <c r="K239" i="11"/>
  <c r="J239" i="11"/>
  <c r="I239" i="11"/>
  <c r="H239" i="11"/>
  <c r="K240" i="11"/>
  <c r="J240" i="11"/>
  <c r="I240" i="11"/>
  <c r="H240" i="11"/>
  <c r="K241" i="11"/>
  <c r="J241" i="11"/>
  <c r="I241" i="11"/>
  <c r="H241" i="11"/>
  <c r="K242" i="11"/>
  <c r="J242" i="11"/>
  <c r="I242" i="11"/>
  <c r="H242" i="11"/>
  <c r="K243" i="11"/>
  <c r="J243" i="11"/>
  <c r="I243" i="11"/>
  <c r="H243" i="11"/>
  <c r="K244" i="11"/>
  <c r="J244" i="11"/>
  <c r="I244" i="11"/>
  <c r="H244" i="11"/>
  <c r="K245" i="11"/>
  <c r="J245" i="11"/>
  <c r="I245" i="11"/>
  <c r="H245" i="11"/>
  <c r="K246" i="11"/>
  <c r="J246" i="11"/>
  <c r="I246" i="11"/>
  <c r="H246" i="11"/>
  <c r="K247" i="11"/>
  <c r="J247" i="11"/>
  <c r="I247" i="11"/>
  <c r="H247" i="11"/>
  <c r="K248" i="11"/>
  <c r="J248" i="11"/>
  <c r="I248" i="11"/>
  <c r="H248" i="11"/>
  <c r="K249" i="11"/>
  <c r="J249" i="11"/>
  <c r="I249" i="11"/>
  <c r="H249" i="11"/>
  <c r="K250" i="11"/>
  <c r="J250" i="11"/>
  <c r="I250" i="11"/>
  <c r="H250" i="11"/>
  <c r="K251" i="11"/>
  <c r="J251" i="11"/>
  <c r="I251" i="11"/>
  <c r="H251" i="11"/>
  <c r="K252" i="11"/>
  <c r="J252" i="11"/>
  <c r="I252" i="11"/>
  <c r="H252" i="11"/>
  <c r="K253" i="11"/>
  <c r="J253" i="11"/>
  <c r="I253" i="11"/>
  <c r="H253" i="11"/>
  <c r="K254" i="11"/>
  <c r="J254" i="11"/>
  <c r="I254" i="11"/>
  <c r="H254" i="11"/>
  <c r="K255" i="11"/>
  <c r="J255" i="11"/>
  <c r="I255" i="11"/>
  <c r="H255" i="11"/>
  <c r="K256" i="11"/>
  <c r="J256" i="11"/>
  <c r="I256" i="11"/>
  <c r="H256" i="11"/>
  <c r="K257" i="11"/>
  <c r="J257" i="11"/>
  <c r="I257" i="11"/>
  <c r="H257" i="11"/>
  <c r="K258" i="11"/>
  <c r="J258" i="11"/>
  <c r="I258" i="11"/>
  <c r="H258" i="11"/>
  <c r="K259" i="11"/>
  <c r="J259" i="11"/>
  <c r="I259" i="11"/>
  <c r="H259" i="11"/>
  <c r="K260" i="11"/>
  <c r="J260" i="11"/>
  <c r="I260" i="11"/>
  <c r="H260" i="11"/>
  <c r="K261" i="11"/>
  <c r="J261" i="11"/>
  <c r="I261" i="11"/>
  <c r="H261" i="11"/>
  <c r="K262" i="11"/>
  <c r="J262" i="11"/>
  <c r="I262" i="11"/>
  <c r="H262" i="11"/>
  <c r="K263" i="11"/>
  <c r="J263" i="11"/>
  <c r="I263" i="11"/>
  <c r="H263" i="11"/>
  <c r="K264" i="11"/>
  <c r="J264" i="11"/>
  <c r="I264" i="11"/>
  <c r="H264" i="11"/>
  <c r="K265" i="11"/>
  <c r="J265" i="11"/>
  <c r="I265" i="11"/>
  <c r="H265" i="11"/>
  <c r="K266" i="11"/>
  <c r="J266" i="11"/>
  <c r="I266" i="11"/>
  <c r="H266" i="11"/>
  <c r="K267" i="11"/>
  <c r="J267" i="11"/>
  <c r="I267" i="11"/>
  <c r="H267" i="11"/>
  <c r="K268" i="11"/>
  <c r="J268" i="11"/>
  <c r="I268" i="11"/>
  <c r="H268" i="11"/>
  <c r="K269" i="11"/>
  <c r="J269" i="11"/>
  <c r="I269" i="11"/>
  <c r="H269" i="11"/>
  <c r="K270" i="11"/>
  <c r="J270" i="11"/>
  <c r="I270" i="11"/>
  <c r="H270" i="11"/>
  <c r="K271" i="11"/>
  <c r="J271" i="11"/>
  <c r="I271" i="11"/>
  <c r="H271" i="11"/>
  <c r="K272" i="11"/>
  <c r="J272" i="11"/>
  <c r="I272" i="11"/>
  <c r="H272" i="11"/>
  <c r="K273" i="11"/>
  <c r="J273" i="11"/>
  <c r="I273" i="11"/>
  <c r="H273" i="11"/>
  <c r="K274" i="11"/>
  <c r="J274" i="11"/>
  <c r="I274" i="11"/>
  <c r="H274" i="11"/>
  <c r="K275" i="11"/>
  <c r="J275" i="11"/>
  <c r="I275" i="11"/>
  <c r="H275" i="11"/>
  <c r="K276" i="11"/>
  <c r="J276" i="11"/>
  <c r="I276" i="11"/>
  <c r="H276" i="11"/>
  <c r="K277" i="11"/>
  <c r="J277" i="11"/>
  <c r="I277" i="11"/>
  <c r="H277" i="11"/>
  <c r="K278" i="11"/>
  <c r="J278" i="11"/>
  <c r="I278" i="11"/>
  <c r="H278" i="11"/>
  <c r="K279" i="11"/>
  <c r="J279" i="11"/>
  <c r="I279" i="11"/>
  <c r="H279" i="11"/>
  <c r="K280" i="11"/>
  <c r="J280" i="11"/>
  <c r="I280" i="11"/>
  <c r="H280" i="11"/>
  <c r="K281" i="11"/>
  <c r="J281" i="11"/>
  <c r="I281" i="11"/>
  <c r="H281" i="11"/>
  <c r="K282" i="11"/>
  <c r="J282" i="11"/>
  <c r="I282" i="11"/>
  <c r="H282" i="11"/>
  <c r="K283" i="11"/>
  <c r="J283" i="11"/>
  <c r="I283" i="11"/>
  <c r="H283" i="11"/>
  <c r="K284" i="11"/>
  <c r="J284" i="11"/>
  <c r="I284" i="11"/>
  <c r="H284" i="11"/>
  <c r="K285" i="11"/>
  <c r="J285" i="11"/>
  <c r="I285" i="11"/>
  <c r="H285" i="11"/>
  <c r="K286" i="11"/>
  <c r="J286" i="11"/>
  <c r="I286" i="11"/>
  <c r="H286" i="11"/>
  <c r="K287" i="11"/>
  <c r="J287" i="11"/>
  <c r="I287" i="11"/>
  <c r="H287" i="11"/>
  <c r="K288" i="11"/>
  <c r="J288" i="11"/>
  <c r="I288" i="11"/>
  <c r="H288" i="11"/>
  <c r="K289" i="11"/>
  <c r="J289" i="11"/>
  <c r="I289" i="11"/>
  <c r="H289" i="11"/>
  <c r="K290" i="11"/>
  <c r="J290" i="11"/>
  <c r="I290" i="11"/>
  <c r="H290" i="11"/>
  <c r="K291" i="11"/>
  <c r="J291" i="11"/>
  <c r="I291" i="11"/>
  <c r="H291" i="11"/>
  <c r="K292" i="11"/>
  <c r="J292" i="11"/>
  <c r="I292" i="11"/>
  <c r="H292" i="11"/>
  <c r="K293" i="11"/>
  <c r="J293" i="11"/>
  <c r="I293" i="11"/>
  <c r="H293" i="11"/>
  <c r="K294" i="11"/>
  <c r="J294" i="11"/>
  <c r="I294" i="11"/>
  <c r="H294" i="11"/>
  <c r="K295" i="11"/>
  <c r="J295" i="11"/>
  <c r="I295" i="11"/>
  <c r="H295" i="11"/>
  <c r="K296" i="11"/>
  <c r="J296" i="11"/>
  <c r="I296" i="11"/>
  <c r="H296" i="11"/>
  <c r="K297" i="11"/>
  <c r="J297" i="11"/>
  <c r="I297" i="11"/>
  <c r="H297" i="11"/>
  <c r="K298" i="11"/>
  <c r="J298" i="11"/>
  <c r="I298" i="11"/>
  <c r="H298" i="11"/>
  <c r="K299" i="11"/>
  <c r="J299" i="11"/>
  <c r="I299" i="11"/>
  <c r="H299" i="11"/>
  <c r="K300" i="11"/>
  <c r="J300" i="11"/>
  <c r="I300" i="11"/>
  <c r="H300" i="11"/>
  <c r="K301" i="11"/>
  <c r="J301" i="11"/>
  <c r="I301" i="11"/>
  <c r="H301" i="11"/>
  <c r="K302" i="11"/>
  <c r="J302" i="11"/>
  <c r="I302" i="11"/>
  <c r="H302" i="11"/>
  <c r="K303" i="11"/>
  <c r="J303" i="11"/>
  <c r="I303" i="11"/>
  <c r="H303" i="11"/>
  <c r="K304" i="11"/>
  <c r="J304" i="11"/>
  <c r="I304" i="11"/>
  <c r="H304" i="11"/>
  <c r="K305" i="11"/>
  <c r="J305" i="11"/>
  <c r="I305" i="11"/>
  <c r="H305" i="11"/>
  <c r="K306" i="11"/>
  <c r="J306" i="11"/>
  <c r="I306" i="11"/>
  <c r="H306" i="11"/>
  <c r="K307" i="11"/>
  <c r="J307" i="11"/>
  <c r="I307" i="11"/>
  <c r="H307" i="11"/>
  <c r="K308" i="11"/>
  <c r="J308" i="11"/>
  <c r="I308" i="11"/>
  <c r="H308" i="11"/>
  <c r="K309" i="11"/>
  <c r="J309" i="11"/>
  <c r="I309" i="11"/>
  <c r="H309" i="11"/>
  <c r="K310" i="11"/>
  <c r="J310" i="11"/>
  <c r="I310" i="11"/>
  <c r="H310" i="11"/>
  <c r="K311" i="11"/>
  <c r="J311" i="11"/>
  <c r="I311" i="11"/>
  <c r="H311" i="11"/>
  <c r="K312" i="11"/>
  <c r="J312" i="11"/>
  <c r="I312" i="11"/>
  <c r="H312" i="11"/>
  <c r="K313" i="11"/>
  <c r="J313" i="11"/>
  <c r="I313" i="11"/>
  <c r="H313" i="11"/>
  <c r="K314" i="11"/>
  <c r="J314" i="11"/>
  <c r="I314" i="11"/>
  <c r="H314" i="11"/>
  <c r="K315" i="11"/>
  <c r="J315" i="11"/>
  <c r="I315" i="11"/>
  <c r="H315" i="11"/>
  <c r="K316" i="11"/>
  <c r="J316" i="11"/>
  <c r="I316" i="11"/>
  <c r="H316" i="11"/>
  <c r="K317" i="11"/>
  <c r="J317" i="11"/>
  <c r="I317" i="11"/>
  <c r="H317" i="11"/>
  <c r="K318" i="11"/>
  <c r="J318" i="11"/>
  <c r="I318" i="11"/>
  <c r="H318" i="11"/>
  <c r="K319" i="11"/>
  <c r="J319" i="11"/>
  <c r="I319" i="11"/>
  <c r="H319" i="11"/>
  <c r="K320" i="11"/>
  <c r="J320" i="11"/>
  <c r="I320" i="11"/>
  <c r="H320" i="11"/>
  <c r="K321" i="11"/>
  <c r="J321" i="11"/>
  <c r="I321" i="11"/>
  <c r="H321" i="11"/>
  <c r="K322" i="11"/>
  <c r="J322" i="11"/>
  <c r="I322" i="11"/>
  <c r="H322" i="11"/>
  <c r="K323" i="11"/>
  <c r="J323" i="11"/>
  <c r="I323" i="11"/>
  <c r="H323" i="11"/>
  <c r="K324" i="11"/>
  <c r="J324" i="11"/>
  <c r="I324" i="11"/>
  <c r="H324" i="11"/>
  <c r="K325" i="11"/>
  <c r="J325" i="11"/>
  <c r="I325" i="11"/>
  <c r="H325" i="11"/>
  <c r="K326" i="11"/>
  <c r="J326" i="11"/>
  <c r="I326" i="11"/>
  <c r="H326" i="11"/>
  <c r="K327" i="11"/>
  <c r="J327" i="11"/>
  <c r="I327" i="11"/>
  <c r="H327" i="11"/>
  <c r="K328" i="11"/>
  <c r="J328" i="11"/>
  <c r="I328" i="11"/>
  <c r="H328" i="11"/>
  <c r="K329" i="11"/>
  <c r="J329" i="11"/>
  <c r="I329" i="11"/>
  <c r="H329" i="11"/>
  <c r="K330" i="11"/>
  <c r="J330" i="11"/>
  <c r="I330" i="11"/>
  <c r="H330" i="11"/>
  <c r="K331" i="11"/>
  <c r="J331" i="11"/>
  <c r="I331" i="11"/>
  <c r="H331" i="11"/>
  <c r="K332" i="11"/>
  <c r="J332" i="11"/>
  <c r="I332" i="11"/>
  <c r="H332" i="11"/>
  <c r="K333" i="11"/>
  <c r="J333" i="11"/>
  <c r="I333" i="11"/>
  <c r="H333" i="11"/>
  <c r="K334" i="11"/>
  <c r="J334" i="11"/>
  <c r="I334" i="11"/>
  <c r="H334" i="11"/>
  <c r="K335" i="11"/>
  <c r="J335" i="11"/>
  <c r="I335" i="11"/>
  <c r="H335" i="11"/>
  <c r="K336" i="11"/>
  <c r="J336" i="11"/>
  <c r="I336" i="11"/>
  <c r="H336" i="11"/>
  <c r="K337" i="11"/>
  <c r="J337" i="11"/>
  <c r="I337" i="11"/>
  <c r="H337" i="11"/>
  <c r="K338" i="11"/>
  <c r="J338" i="11"/>
  <c r="I338" i="11"/>
  <c r="H338" i="11"/>
  <c r="K339" i="11"/>
  <c r="J339" i="11"/>
  <c r="I339" i="11"/>
  <c r="H339" i="11"/>
  <c r="K340" i="11"/>
  <c r="J340" i="11"/>
  <c r="I340" i="11"/>
  <c r="H340" i="11"/>
  <c r="K341" i="11"/>
  <c r="J341" i="11"/>
  <c r="I341" i="11"/>
  <c r="H341" i="11"/>
  <c r="K342" i="11"/>
  <c r="J342" i="11"/>
  <c r="I342" i="11"/>
  <c r="H342" i="11"/>
  <c r="K343" i="11"/>
  <c r="J343" i="11"/>
  <c r="I343" i="11"/>
  <c r="H343" i="11"/>
  <c r="K344" i="11"/>
  <c r="J344" i="11"/>
  <c r="I344" i="11"/>
  <c r="H344" i="11"/>
  <c r="K345" i="11"/>
  <c r="J345" i="11"/>
  <c r="I345" i="11"/>
  <c r="H345" i="11"/>
  <c r="K346" i="11"/>
  <c r="J346" i="11"/>
  <c r="I346" i="11"/>
  <c r="H346" i="11"/>
  <c r="K347" i="11"/>
  <c r="J347" i="11"/>
  <c r="I347" i="11"/>
  <c r="H347" i="11"/>
  <c r="K348" i="11"/>
  <c r="J348" i="11"/>
  <c r="I348" i="11"/>
  <c r="H348" i="11"/>
  <c r="K349" i="11"/>
  <c r="J349" i="11"/>
  <c r="I349" i="11"/>
  <c r="H349" i="11"/>
  <c r="K350" i="11"/>
  <c r="J350" i="11"/>
  <c r="I350" i="11"/>
  <c r="H350" i="11"/>
  <c r="K351" i="11"/>
  <c r="J351" i="11"/>
  <c r="I351" i="11"/>
  <c r="H351" i="11"/>
  <c r="K352" i="11"/>
  <c r="J352" i="11"/>
  <c r="I352" i="11"/>
  <c r="H352" i="11"/>
  <c r="K353" i="11"/>
  <c r="J353" i="11"/>
  <c r="I353" i="11"/>
  <c r="H353" i="11"/>
  <c r="K354" i="11"/>
  <c r="J354" i="11"/>
  <c r="I354" i="11"/>
  <c r="H354" i="11"/>
  <c r="K355" i="11"/>
  <c r="J355" i="11"/>
  <c r="I355" i="11"/>
  <c r="H355" i="11"/>
  <c r="K356" i="11"/>
  <c r="J356" i="11"/>
  <c r="I356" i="11"/>
  <c r="H356" i="11"/>
  <c r="K357" i="11"/>
  <c r="J357" i="11"/>
  <c r="I357" i="11"/>
  <c r="H357" i="11"/>
  <c r="K358" i="11"/>
  <c r="J358" i="11"/>
  <c r="I358" i="11"/>
  <c r="H358" i="11"/>
  <c r="K359" i="11"/>
  <c r="J359" i="11"/>
  <c r="I359" i="11"/>
  <c r="H359" i="11"/>
  <c r="K360" i="11"/>
  <c r="J360" i="11"/>
  <c r="I360" i="11"/>
  <c r="H360" i="11"/>
  <c r="K361" i="11"/>
  <c r="J361" i="11"/>
  <c r="I361" i="11"/>
  <c r="H361" i="11"/>
  <c r="K362" i="11"/>
  <c r="J362" i="11"/>
  <c r="I362" i="11"/>
  <c r="H362" i="11"/>
  <c r="K363" i="11"/>
  <c r="J363" i="11"/>
  <c r="I363" i="11"/>
  <c r="H363" i="11"/>
  <c r="K364" i="11"/>
  <c r="J364" i="11"/>
  <c r="I364" i="11"/>
  <c r="H364" i="11"/>
  <c r="K365" i="11"/>
  <c r="J365" i="11"/>
  <c r="I365" i="11"/>
  <c r="H365" i="11"/>
  <c r="K366" i="11"/>
  <c r="J366" i="11"/>
  <c r="I366" i="11"/>
  <c r="H366" i="11"/>
  <c r="K367" i="11"/>
  <c r="J367" i="11"/>
  <c r="I367" i="11"/>
  <c r="H367" i="11"/>
  <c r="K368" i="11"/>
  <c r="J368" i="11"/>
  <c r="I368" i="11"/>
  <c r="H368" i="11"/>
  <c r="K369" i="11"/>
  <c r="J369" i="11"/>
  <c r="I369" i="11"/>
  <c r="H369" i="11"/>
  <c r="K370" i="11"/>
  <c r="J370" i="11"/>
  <c r="I370" i="11"/>
  <c r="H370" i="11"/>
  <c r="K371" i="11"/>
  <c r="J371" i="11"/>
  <c r="I371" i="11"/>
  <c r="H371" i="11"/>
  <c r="K372" i="11"/>
  <c r="J372" i="11"/>
  <c r="I372" i="11"/>
  <c r="H372" i="11"/>
  <c r="K373" i="11"/>
  <c r="J373" i="11"/>
  <c r="I373" i="11"/>
  <c r="H373" i="11"/>
  <c r="K374" i="11"/>
  <c r="J374" i="11"/>
  <c r="I374" i="11"/>
  <c r="H374" i="11"/>
  <c r="K375" i="11"/>
  <c r="J375" i="11"/>
  <c r="I375" i="11"/>
  <c r="H375" i="11"/>
  <c r="K376" i="11"/>
  <c r="J376" i="11"/>
  <c r="I376" i="11"/>
  <c r="H376" i="11"/>
  <c r="K377" i="11"/>
  <c r="J377" i="11"/>
  <c r="I377" i="11"/>
  <c r="H377" i="11"/>
  <c r="K378" i="11"/>
  <c r="J378" i="11"/>
  <c r="I378" i="11"/>
  <c r="H378" i="11"/>
  <c r="K379" i="11"/>
  <c r="J379" i="11"/>
  <c r="I379" i="11"/>
  <c r="H379" i="11"/>
  <c r="K380" i="11"/>
  <c r="J380" i="11"/>
  <c r="I380" i="11"/>
  <c r="H380" i="11"/>
  <c r="K381" i="11"/>
  <c r="J381" i="11"/>
  <c r="I381" i="11"/>
  <c r="H381" i="11"/>
  <c r="K382" i="11"/>
  <c r="J382" i="11"/>
  <c r="I382" i="11"/>
  <c r="H382" i="11"/>
  <c r="K383" i="11"/>
  <c r="J383" i="11"/>
  <c r="I383" i="11"/>
  <c r="H383" i="11"/>
  <c r="K384" i="11"/>
  <c r="J384" i="11"/>
  <c r="I384" i="11"/>
  <c r="H384" i="11"/>
  <c r="K385" i="11"/>
  <c r="J385" i="11"/>
  <c r="I385" i="11"/>
  <c r="H385" i="11"/>
  <c r="K386" i="11"/>
  <c r="J386" i="11"/>
  <c r="I386" i="11"/>
  <c r="H386" i="11"/>
  <c r="K387" i="11"/>
  <c r="J387" i="11"/>
  <c r="I387" i="11"/>
  <c r="H387" i="11"/>
  <c r="K388" i="11"/>
  <c r="J388" i="11"/>
  <c r="I388" i="11"/>
  <c r="H388" i="11"/>
  <c r="K389" i="11"/>
  <c r="J389" i="11"/>
  <c r="I389" i="11"/>
  <c r="H389" i="11"/>
  <c r="K390" i="11"/>
  <c r="J390" i="11"/>
  <c r="I390" i="11"/>
  <c r="H390" i="11"/>
  <c r="K391" i="11"/>
  <c r="J391" i="11"/>
  <c r="I391" i="11"/>
  <c r="H391" i="11"/>
  <c r="K392" i="11"/>
  <c r="J392" i="11"/>
  <c r="I392" i="11"/>
  <c r="H392" i="11"/>
  <c r="K393" i="11"/>
  <c r="J393" i="11"/>
  <c r="I393" i="11"/>
  <c r="H393" i="11"/>
  <c r="K394" i="11"/>
  <c r="J394" i="11"/>
  <c r="I394" i="11"/>
  <c r="H394" i="11"/>
  <c r="K395" i="11"/>
  <c r="J395" i="11"/>
  <c r="I395" i="11"/>
  <c r="H395" i="11"/>
  <c r="K396" i="11"/>
  <c r="J396" i="11"/>
  <c r="I396" i="11"/>
  <c r="H396" i="11"/>
  <c r="K397" i="11"/>
  <c r="J397" i="11"/>
  <c r="I397" i="11"/>
  <c r="H397" i="11"/>
  <c r="K398" i="11"/>
  <c r="J398" i="11"/>
  <c r="I398" i="11"/>
  <c r="H398" i="11"/>
  <c r="K399" i="11"/>
  <c r="J399" i="11"/>
  <c r="I399" i="11"/>
  <c r="H399" i="11"/>
  <c r="K400" i="11"/>
  <c r="J400" i="11"/>
  <c r="I400" i="11"/>
  <c r="H400" i="11"/>
  <c r="K401" i="11"/>
  <c r="J401" i="11"/>
  <c r="I401" i="11"/>
  <c r="H401" i="11"/>
  <c r="K402" i="11"/>
  <c r="J402" i="11"/>
  <c r="I402" i="11"/>
  <c r="H402" i="11"/>
  <c r="K403" i="11"/>
  <c r="J403" i="11"/>
  <c r="I403" i="11"/>
  <c r="H403" i="11"/>
  <c r="K404" i="11"/>
  <c r="J404" i="11"/>
  <c r="I404" i="11"/>
  <c r="H404" i="11"/>
  <c r="K405" i="11"/>
  <c r="J405" i="11"/>
  <c r="I405" i="11"/>
  <c r="H405" i="11"/>
  <c r="K406" i="11"/>
  <c r="J406" i="11"/>
  <c r="I406" i="11"/>
  <c r="H406" i="11"/>
  <c r="K407" i="11"/>
  <c r="J407" i="11"/>
  <c r="I407" i="11"/>
  <c r="H407" i="11"/>
  <c r="K408" i="11"/>
  <c r="J408" i="11"/>
  <c r="I408" i="11"/>
  <c r="H408" i="11"/>
  <c r="K409" i="11"/>
  <c r="J409" i="11"/>
  <c r="I409" i="11"/>
  <c r="H409" i="11"/>
  <c r="K410" i="11"/>
  <c r="J410" i="11"/>
  <c r="I410" i="11"/>
  <c r="H410" i="11"/>
  <c r="K411" i="11"/>
  <c r="J411" i="11"/>
  <c r="I411" i="11"/>
  <c r="H411" i="11"/>
  <c r="K412" i="11"/>
  <c r="J412" i="11"/>
  <c r="I412" i="11"/>
  <c r="H412" i="11"/>
  <c r="K413" i="11"/>
  <c r="J413" i="11"/>
  <c r="I413" i="11"/>
  <c r="H413" i="11"/>
  <c r="K414" i="11"/>
  <c r="J414" i="11"/>
  <c r="I414" i="11"/>
  <c r="H414" i="11"/>
  <c r="K415" i="11"/>
  <c r="J415" i="11"/>
  <c r="I415" i="11"/>
  <c r="H415" i="11"/>
  <c r="K416" i="11"/>
  <c r="J416" i="11"/>
  <c r="I416" i="11"/>
  <c r="H416" i="11"/>
  <c r="K417" i="11"/>
  <c r="J417" i="11"/>
  <c r="I417" i="11"/>
  <c r="H417" i="11"/>
  <c r="K418" i="11"/>
  <c r="J418" i="11"/>
  <c r="I418" i="11"/>
  <c r="H418" i="11"/>
  <c r="K419" i="11"/>
  <c r="J419" i="11"/>
  <c r="I419" i="11"/>
  <c r="H419" i="11"/>
  <c r="K420" i="11"/>
  <c r="J420" i="11"/>
  <c r="I420" i="11"/>
  <c r="H420" i="11"/>
  <c r="K421" i="11"/>
  <c r="J421" i="11"/>
  <c r="I421" i="11"/>
  <c r="H421" i="11"/>
  <c r="K422" i="11"/>
  <c r="J422" i="11"/>
  <c r="I422" i="11"/>
  <c r="H422" i="11"/>
  <c r="K423" i="11"/>
  <c r="J423" i="11"/>
  <c r="I423" i="11"/>
  <c r="H423" i="11"/>
  <c r="K424" i="11"/>
  <c r="J424" i="11"/>
  <c r="I424" i="11"/>
  <c r="H424" i="11"/>
  <c r="K425" i="11"/>
  <c r="J425" i="11"/>
  <c r="I425" i="11"/>
  <c r="H425" i="11"/>
  <c r="K426" i="11"/>
  <c r="J426" i="11"/>
  <c r="I426" i="11"/>
  <c r="H426" i="11"/>
  <c r="K427" i="11"/>
  <c r="J427" i="11"/>
  <c r="I427" i="11"/>
  <c r="H427" i="11"/>
  <c r="K428" i="11"/>
  <c r="J428" i="11"/>
  <c r="I428" i="11"/>
  <c r="H428" i="11"/>
  <c r="K429" i="11"/>
  <c r="J429" i="11"/>
  <c r="I429" i="11"/>
  <c r="H429" i="11"/>
  <c r="K430" i="11"/>
  <c r="J430" i="11"/>
  <c r="I430" i="11"/>
  <c r="H430" i="11"/>
  <c r="K431" i="11"/>
  <c r="J431" i="11"/>
  <c r="I431" i="11"/>
  <c r="H431" i="11"/>
  <c r="K432" i="11"/>
  <c r="J432" i="11"/>
  <c r="I432" i="11"/>
  <c r="H432" i="11"/>
  <c r="K433" i="11"/>
  <c r="J433" i="11"/>
  <c r="I433" i="11"/>
  <c r="H433" i="11"/>
  <c r="K434" i="11"/>
  <c r="J434" i="11"/>
  <c r="I434" i="11"/>
  <c r="H434" i="11"/>
  <c r="K435" i="11"/>
  <c r="J435" i="11"/>
  <c r="I435" i="11"/>
  <c r="H435" i="11"/>
  <c r="K436" i="11"/>
  <c r="J436" i="11"/>
  <c r="I436" i="11"/>
  <c r="H436" i="11"/>
  <c r="K437" i="11"/>
  <c r="J437" i="11"/>
  <c r="I437" i="11"/>
  <c r="H437" i="11"/>
  <c r="K438" i="11"/>
  <c r="J438" i="11"/>
  <c r="I438" i="11"/>
  <c r="H438" i="11"/>
  <c r="K439" i="11"/>
  <c r="J439" i="11"/>
  <c r="I439" i="11"/>
  <c r="H439" i="11"/>
  <c r="K440" i="11"/>
  <c r="J440" i="11"/>
  <c r="I440" i="11"/>
  <c r="H440" i="11"/>
  <c r="K441" i="11"/>
  <c r="J441" i="11"/>
  <c r="I441" i="11"/>
  <c r="H441" i="11"/>
  <c r="K442" i="11"/>
  <c r="J442" i="11"/>
  <c r="I442" i="11"/>
  <c r="H442" i="11"/>
  <c r="K443" i="11"/>
  <c r="J443" i="11"/>
  <c r="I443" i="11"/>
  <c r="H443" i="11"/>
  <c r="K444" i="11"/>
  <c r="J444" i="11"/>
  <c r="I444" i="11"/>
  <c r="H444" i="11"/>
  <c r="K445" i="11"/>
  <c r="J445" i="11"/>
  <c r="I445" i="11"/>
  <c r="H445" i="11"/>
  <c r="K446" i="11"/>
  <c r="J446" i="11"/>
  <c r="I446" i="11"/>
  <c r="H446" i="11"/>
  <c r="K447" i="11"/>
  <c r="J447" i="11"/>
  <c r="I447" i="11"/>
  <c r="H447" i="11"/>
  <c r="K448" i="11"/>
  <c r="J448" i="11"/>
  <c r="I448" i="11"/>
  <c r="H448" i="11"/>
  <c r="K449" i="11"/>
  <c r="J449" i="11"/>
  <c r="I449" i="11"/>
  <c r="H449" i="11"/>
  <c r="K450" i="11"/>
  <c r="J450" i="11"/>
  <c r="I450" i="11"/>
  <c r="H450" i="11"/>
  <c r="K451" i="11"/>
  <c r="J451" i="11"/>
  <c r="I451" i="11"/>
  <c r="H451" i="11"/>
  <c r="K452" i="11"/>
  <c r="J452" i="11"/>
  <c r="I452" i="11"/>
  <c r="H452" i="11"/>
  <c r="K453" i="11"/>
  <c r="J453" i="11"/>
  <c r="I453" i="11"/>
  <c r="H453" i="11"/>
  <c r="K454" i="11"/>
  <c r="J454" i="11"/>
  <c r="I454" i="11"/>
  <c r="H454" i="11"/>
  <c r="K455" i="11"/>
  <c r="J455" i="11"/>
  <c r="I455" i="11"/>
  <c r="H455" i="11"/>
  <c r="K456" i="11"/>
  <c r="J456" i="11"/>
  <c r="I456" i="11"/>
  <c r="H456" i="11"/>
  <c r="K457" i="11"/>
  <c r="J457" i="11"/>
  <c r="I457" i="11"/>
  <c r="H457" i="11"/>
  <c r="K458" i="11"/>
  <c r="J458" i="11"/>
  <c r="I458" i="11"/>
  <c r="H458" i="11"/>
  <c r="K459" i="11"/>
  <c r="J459" i="11"/>
  <c r="I459" i="11"/>
  <c r="H459" i="11"/>
  <c r="K460" i="11"/>
  <c r="J460" i="11"/>
  <c r="I460" i="11"/>
  <c r="H460" i="11"/>
  <c r="K461" i="11"/>
  <c r="J461" i="11"/>
  <c r="I461" i="11"/>
  <c r="H461" i="11"/>
  <c r="K462" i="11"/>
  <c r="J462" i="11"/>
  <c r="I462" i="11"/>
  <c r="H462" i="11"/>
  <c r="K463" i="11"/>
  <c r="J463" i="11"/>
  <c r="I463" i="11"/>
  <c r="H463" i="11"/>
  <c r="K464" i="11"/>
  <c r="J464" i="11"/>
  <c r="I464" i="11"/>
  <c r="H464" i="11"/>
  <c r="K465" i="11"/>
  <c r="J465" i="11"/>
  <c r="I465" i="11"/>
  <c r="H465" i="11"/>
  <c r="K466" i="11"/>
  <c r="J466" i="11"/>
  <c r="I466" i="11"/>
  <c r="H466" i="11"/>
  <c r="K467" i="11"/>
  <c r="J467" i="11"/>
  <c r="I467" i="11"/>
  <c r="H467" i="11"/>
  <c r="K468" i="11"/>
  <c r="J468" i="11"/>
  <c r="I468" i="11"/>
  <c r="H468" i="11"/>
  <c r="K469" i="11"/>
  <c r="J469" i="11"/>
  <c r="I469" i="11"/>
  <c r="H469" i="11"/>
  <c r="K470" i="11"/>
  <c r="J470" i="11"/>
  <c r="I470" i="11"/>
  <c r="H470" i="11"/>
  <c r="K471" i="11"/>
  <c r="J471" i="11"/>
  <c r="I471" i="11"/>
  <c r="H471" i="11"/>
  <c r="K472" i="11"/>
  <c r="J472" i="11"/>
  <c r="I472" i="11"/>
  <c r="H472" i="11"/>
  <c r="K473" i="11"/>
  <c r="J473" i="11"/>
  <c r="I473" i="11"/>
  <c r="H473" i="11"/>
  <c r="K474" i="11"/>
  <c r="J474" i="11"/>
  <c r="I474" i="11"/>
  <c r="H474" i="11"/>
  <c r="K475" i="11"/>
  <c r="J475" i="11"/>
  <c r="I475" i="11"/>
  <c r="H475" i="11"/>
  <c r="K476" i="11"/>
  <c r="J476" i="11"/>
  <c r="I476" i="11"/>
  <c r="H476" i="11"/>
  <c r="K477" i="11"/>
  <c r="J477" i="11"/>
  <c r="I477" i="11"/>
  <c r="H477" i="11"/>
  <c r="K478" i="11"/>
  <c r="J478" i="11"/>
  <c r="I478" i="11"/>
  <c r="H478" i="11"/>
  <c r="K479" i="11"/>
  <c r="J479" i="11"/>
  <c r="I479" i="11"/>
  <c r="H479" i="11"/>
  <c r="K480" i="11"/>
  <c r="J480" i="11"/>
  <c r="I480" i="11"/>
  <c r="H480" i="11"/>
  <c r="K481" i="11"/>
  <c r="J481" i="11"/>
  <c r="I481" i="11"/>
  <c r="H481" i="11"/>
  <c r="K482" i="11"/>
  <c r="J482" i="11"/>
  <c r="I482" i="11"/>
  <c r="H482" i="11"/>
  <c r="K483" i="11"/>
  <c r="J483" i="11"/>
  <c r="I483" i="11"/>
  <c r="H483" i="11"/>
  <c r="K484" i="11"/>
  <c r="J484" i="11"/>
  <c r="I484" i="11"/>
  <c r="H484" i="11"/>
  <c r="K485" i="11"/>
  <c r="J485" i="11"/>
  <c r="I485" i="11"/>
  <c r="H485" i="11"/>
  <c r="K486" i="11"/>
  <c r="J486" i="11"/>
  <c r="I486" i="11"/>
  <c r="H486" i="11"/>
  <c r="K487" i="11"/>
  <c r="J487" i="11"/>
  <c r="I487" i="11"/>
  <c r="H487" i="11"/>
  <c r="K488" i="11"/>
  <c r="J488" i="11"/>
  <c r="I488" i="11"/>
  <c r="H488" i="11"/>
  <c r="K489" i="11"/>
  <c r="J489" i="11"/>
  <c r="I489" i="11"/>
  <c r="H489" i="11"/>
  <c r="K490" i="11"/>
  <c r="J490" i="11"/>
  <c r="I490" i="11"/>
  <c r="H490" i="11"/>
  <c r="K491" i="11"/>
  <c r="J491" i="11"/>
  <c r="I491" i="11"/>
  <c r="H491" i="11"/>
  <c r="K492" i="11"/>
  <c r="J492" i="11"/>
  <c r="I492" i="11"/>
  <c r="H492" i="11"/>
  <c r="K493" i="11"/>
  <c r="J493" i="11"/>
  <c r="I493" i="11"/>
  <c r="H493" i="11"/>
  <c r="K494" i="11"/>
  <c r="J494" i="11"/>
  <c r="I494" i="11"/>
  <c r="H494" i="11"/>
  <c r="K495" i="11"/>
  <c r="J495" i="11"/>
  <c r="I495" i="11"/>
  <c r="H495" i="11"/>
  <c r="K496" i="11"/>
  <c r="J496" i="11"/>
  <c r="I496" i="11"/>
  <c r="H496" i="11"/>
  <c r="K497" i="11"/>
  <c r="J497" i="11"/>
  <c r="I497" i="11"/>
  <c r="H497" i="11"/>
  <c r="K498" i="11"/>
  <c r="J498" i="11"/>
  <c r="I498" i="11"/>
  <c r="H498" i="11"/>
  <c r="K499" i="11"/>
  <c r="J499" i="11"/>
  <c r="I499" i="11"/>
  <c r="H499" i="11"/>
  <c r="K500" i="11"/>
  <c r="J500" i="11"/>
  <c r="I500" i="11"/>
  <c r="H500" i="11"/>
  <c r="K501" i="11"/>
  <c r="J501" i="11"/>
  <c r="I501" i="11"/>
  <c r="H501" i="11"/>
  <c r="K502" i="11"/>
  <c r="J502" i="11"/>
  <c r="I502" i="11"/>
  <c r="H502" i="11"/>
  <c r="K503" i="11"/>
  <c r="J503" i="11"/>
  <c r="I503" i="11"/>
  <c r="H503" i="11"/>
  <c r="K504" i="11"/>
  <c r="J504" i="11"/>
  <c r="I504" i="11"/>
  <c r="H504" i="11"/>
  <c r="K505" i="11"/>
  <c r="J505" i="11"/>
  <c r="I505" i="11"/>
  <c r="H505" i="11"/>
  <c r="K506" i="11"/>
  <c r="J506" i="11"/>
  <c r="I506" i="11"/>
  <c r="H506" i="11"/>
  <c r="K507" i="11"/>
  <c r="J507" i="11"/>
  <c r="I507" i="11"/>
  <c r="H507" i="11"/>
  <c r="K508" i="11"/>
  <c r="J508" i="11"/>
  <c r="I508" i="11"/>
  <c r="H508" i="11"/>
  <c r="K509" i="11"/>
  <c r="J509" i="11"/>
  <c r="I509" i="11"/>
  <c r="H509" i="11"/>
  <c r="K510" i="11"/>
  <c r="J510" i="11"/>
  <c r="I510" i="11"/>
  <c r="H510" i="11"/>
  <c r="K511" i="11"/>
  <c r="J511" i="11"/>
  <c r="I511" i="11"/>
  <c r="H511" i="11"/>
  <c r="K512" i="11"/>
  <c r="J512" i="11"/>
  <c r="I512" i="11"/>
  <c r="H512" i="11"/>
  <c r="K513" i="11"/>
  <c r="J513" i="11"/>
  <c r="I513" i="11"/>
  <c r="H513" i="11"/>
  <c r="K514" i="11"/>
  <c r="J514" i="11"/>
  <c r="I514" i="11"/>
  <c r="H514" i="11"/>
  <c r="K515" i="11"/>
  <c r="J515" i="11"/>
  <c r="I515" i="11"/>
  <c r="H515" i="11"/>
  <c r="K516" i="11"/>
  <c r="J516" i="11"/>
  <c r="I516" i="11"/>
  <c r="H516" i="11"/>
  <c r="K517" i="11"/>
  <c r="J517" i="11"/>
  <c r="I517" i="11"/>
  <c r="H517" i="11"/>
  <c r="K518" i="11"/>
  <c r="J518" i="11"/>
  <c r="I518" i="11"/>
  <c r="H518" i="11"/>
  <c r="K519" i="11"/>
  <c r="J519" i="11"/>
  <c r="I519" i="11"/>
  <c r="H519" i="11"/>
  <c r="K520" i="11"/>
  <c r="J520" i="11"/>
  <c r="I520" i="11"/>
  <c r="H520" i="11"/>
  <c r="K521" i="11"/>
  <c r="J521" i="11"/>
  <c r="I521" i="11"/>
  <c r="H521" i="11"/>
  <c r="K522" i="11"/>
  <c r="J522" i="11"/>
  <c r="I522" i="11"/>
  <c r="H522" i="11"/>
  <c r="K523" i="11"/>
  <c r="J523" i="11"/>
  <c r="I523" i="11"/>
  <c r="H523" i="11"/>
  <c r="K524" i="11"/>
  <c r="J524" i="11"/>
  <c r="I524" i="11"/>
  <c r="H524" i="11"/>
  <c r="K525" i="11"/>
  <c r="J525" i="11"/>
  <c r="I525" i="11"/>
  <c r="H525" i="11"/>
  <c r="K526" i="11"/>
  <c r="J526" i="11"/>
  <c r="I526" i="11"/>
  <c r="H526" i="11"/>
  <c r="K527" i="11"/>
  <c r="J527" i="11"/>
  <c r="I527" i="11"/>
  <c r="H527" i="11"/>
  <c r="K528" i="11"/>
  <c r="J528" i="11"/>
  <c r="I528" i="11"/>
  <c r="H528" i="11"/>
  <c r="K529" i="11"/>
  <c r="J529" i="11"/>
  <c r="I529" i="11"/>
  <c r="H529" i="11"/>
  <c r="K530" i="11"/>
  <c r="J530" i="11"/>
  <c r="I530" i="11"/>
  <c r="H530" i="11"/>
  <c r="K531" i="11"/>
  <c r="J531" i="11"/>
  <c r="I531" i="11"/>
  <c r="H531" i="11"/>
  <c r="K532" i="11"/>
  <c r="J532" i="11"/>
  <c r="I532" i="11"/>
  <c r="H532" i="11"/>
  <c r="K533" i="11"/>
  <c r="J533" i="11"/>
  <c r="I533" i="11"/>
  <c r="H533" i="11"/>
  <c r="K534" i="11"/>
  <c r="J534" i="11"/>
  <c r="I534" i="11"/>
  <c r="H534" i="11"/>
  <c r="K535" i="11"/>
  <c r="J535" i="11"/>
  <c r="I535" i="11"/>
  <c r="H535" i="11"/>
  <c r="K536" i="11"/>
  <c r="J536" i="11"/>
  <c r="I536" i="11"/>
  <c r="H536" i="11"/>
  <c r="K537" i="11"/>
  <c r="J537" i="11"/>
  <c r="I537" i="11"/>
  <c r="H537" i="11"/>
  <c r="K538" i="11"/>
  <c r="J538" i="11"/>
  <c r="I538" i="11"/>
  <c r="H538" i="11"/>
  <c r="K539" i="11"/>
  <c r="J539" i="11"/>
  <c r="I539" i="11"/>
  <c r="H539" i="11"/>
  <c r="K540" i="11"/>
  <c r="J540" i="11"/>
  <c r="I540" i="11"/>
  <c r="H540" i="11"/>
  <c r="K541" i="11"/>
  <c r="J541" i="11"/>
  <c r="I541" i="11"/>
  <c r="H541" i="11"/>
  <c r="K542" i="11"/>
  <c r="J542" i="11"/>
  <c r="I542" i="11"/>
  <c r="H542" i="11"/>
  <c r="K543" i="11"/>
  <c r="J543" i="11"/>
  <c r="I543" i="11"/>
  <c r="H543" i="11"/>
  <c r="K544" i="11"/>
  <c r="J544" i="11"/>
  <c r="I544" i="11"/>
  <c r="H544" i="11"/>
  <c r="K545" i="11"/>
  <c r="J545" i="11"/>
  <c r="I545" i="11"/>
  <c r="H545" i="11"/>
  <c r="K546" i="11"/>
  <c r="J546" i="11"/>
  <c r="I546" i="11"/>
  <c r="H546" i="11"/>
  <c r="K547" i="11"/>
  <c r="J547" i="11"/>
  <c r="I547" i="11"/>
  <c r="H547" i="11"/>
  <c r="K548" i="11"/>
  <c r="J548" i="11"/>
  <c r="I548" i="11"/>
  <c r="H548" i="11"/>
  <c r="K549" i="11"/>
  <c r="J549" i="11"/>
  <c r="I549" i="11"/>
  <c r="H549" i="11"/>
  <c r="K550" i="11"/>
  <c r="J550" i="11"/>
  <c r="I550" i="11"/>
  <c r="H550" i="11"/>
  <c r="K551" i="11"/>
  <c r="J551" i="11"/>
  <c r="I551" i="11"/>
  <c r="H551" i="11"/>
  <c r="K552" i="11"/>
  <c r="J552" i="11"/>
  <c r="I552" i="11"/>
  <c r="H552" i="11"/>
  <c r="K553" i="11"/>
  <c r="J553" i="11"/>
  <c r="I553" i="11"/>
  <c r="H553" i="11"/>
  <c r="K554" i="11"/>
  <c r="J554" i="11"/>
  <c r="I554" i="11"/>
  <c r="H554" i="11"/>
  <c r="K555" i="11"/>
  <c r="J555" i="11"/>
  <c r="I555" i="11"/>
  <c r="H555" i="11"/>
  <c r="K556" i="11"/>
  <c r="J556" i="11"/>
  <c r="I556" i="11"/>
  <c r="H556" i="11"/>
  <c r="K557" i="11"/>
  <c r="J557" i="11"/>
  <c r="I557" i="11"/>
  <c r="H557" i="11"/>
  <c r="K558" i="11"/>
  <c r="J558" i="11"/>
  <c r="I558" i="11"/>
  <c r="H558" i="11"/>
  <c r="K559" i="11"/>
  <c r="J559" i="11"/>
  <c r="I559" i="11"/>
  <c r="H559" i="11"/>
  <c r="K560" i="11"/>
  <c r="J560" i="11"/>
  <c r="I560" i="11"/>
  <c r="H560" i="11"/>
  <c r="K561" i="11"/>
  <c r="J561" i="11"/>
  <c r="I561" i="11"/>
  <c r="H561" i="11"/>
  <c r="K562" i="11"/>
  <c r="J562" i="11"/>
  <c r="I562" i="11"/>
  <c r="H562" i="11"/>
  <c r="K563" i="11"/>
  <c r="J563" i="11"/>
  <c r="I563" i="11"/>
  <c r="H563" i="11"/>
  <c r="K564" i="11"/>
  <c r="J564" i="11"/>
  <c r="I564" i="11"/>
  <c r="H564" i="11"/>
  <c r="K565" i="11"/>
  <c r="J565" i="11"/>
  <c r="I565" i="11"/>
  <c r="H565" i="11"/>
  <c r="K566" i="11"/>
  <c r="J566" i="11"/>
  <c r="I566" i="11"/>
  <c r="H566" i="11"/>
  <c r="K567" i="11"/>
  <c r="J567" i="11"/>
  <c r="I567" i="11"/>
  <c r="H567" i="11"/>
  <c r="K568" i="11"/>
  <c r="J568" i="11"/>
  <c r="I568" i="11"/>
  <c r="H568" i="11"/>
  <c r="K569" i="11"/>
  <c r="J569" i="11"/>
  <c r="I569" i="11"/>
  <c r="H569" i="11"/>
  <c r="K570" i="11"/>
  <c r="J570" i="11"/>
  <c r="I570" i="11"/>
  <c r="H570" i="11"/>
  <c r="K571" i="11"/>
  <c r="J571" i="11"/>
  <c r="I571" i="11"/>
  <c r="H571" i="11"/>
  <c r="K572" i="11"/>
  <c r="J572" i="11"/>
  <c r="I572" i="11"/>
  <c r="H572" i="11"/>
  <c r="K573" i="11"/>
  <c r="J573" i="11"/>
  <c r="I573" i="11"/>
  <c r="H573" i="11"/>
  <c r="K574" i="11"/>
  <c r="J574" i="11"/>
  <c r="I574" i="11"/>
  <c r="H574" i="11"/>
  <c r="K575" i="11"/>
  <c r="J575" i="11"/>
  <c r="I575" i="11"/>
  <c r="H575" i="11"/>
  <c r="K576" i="11"/>
  <c r="J576" i="11"/>
  <c r="I576" i="11"/>
  <c r="H576" i="11"/>
  <c r="K577" i="11"/>
  <c r="J577" i="11"/>
  <c r="I577" i="11"/>
  <c r="H577" i="11"/>
  <c r="K578" i="11"/>
  <c r="J578" i="11"/>
  <c r="I578" i="11"/>
  <c r="H578" i="11"/>
  <c r="K579" i="11"/>
  <c r="J579" i="11"/>
  <c r="I579" i="11"/>
  <c r="H579" i="11"/>
  <c r="K580" i="11"/>
  <c r="J580" i="11"/>
  <c r="I580" i="11"/>
  <c r="H580" i="11"/>
  <c r="K581" i="11"/>
  <c r="J581" i="11"/>
  <c r="I581" i="11"/>
  <c r="H581" i="11"/>
  <c r="K582" i="11"/>
  <c r="J582" i="11"/>
  <c r="I582" i="11"/>
  <c r="H582" i="11"/>
  <c r="K583" i="11"/>
  <c r="J583" i="11"/>
  <c r="I583" i="11"/>
  <c r="H583" i="11"/>
  <c r="K584" i="11"/>
  <c r="J584" i="11"/>
  <c r="I584" i="11"/>
  <c r="H584" i="11"/>
  <c r="K585" i="11"/>
  <c r="J585" i="11"/>
  <c r="I585" i="11"/>
  <c r="H585" i="11"/>
  <c r="K586" i="11"/>
  <c r="J586" i="11"/>
  <c r="I586" i="11"/>
  <c r="H586" i="11"/>
  <c r="K587" i="11"/>
  <c r="J587" i="11"/>
  <c r="I587" i="11"/>
  <c r="H587" i="11"/>
  <c r="K588" i="11"/>
  <c r="J588" i="11"/>
  <c r="I588" i="11"/>
  <c r="H588" i="11"/>
  <c r="K589" i="11"/>
  <c r="J589" i="11"/>
  <c r="I589" i="11"/>
  <c r="H589" i="11"/>
  <c r="K590" i="11"/>
  <c r="J590" i="11"/>
  <c r="I590" i="11"/>
  <c r="H590" i="11"/>
  <c r="K591" i="11"/>
  <c r="J591" i="11"/>
  <c r="I591" i="11"/>
  <c r="H591" i="11"/>
  <c r="K592" i="11"/>
  <c r="J592" i="11"/>
  <c r="I592" i="11"/>
  <c r="H592" i="11"/>
  <c r="K593" i="11"/>
  <c r="J593" i="11"/>
  <c r="I593" i="11"/>
  <c r="H593" i="11"/>
  <c r="K594" i="11"/>
  <c r="J594" i="11"/>
  <c r="I594" i="11"/>
  <c r="H594" i="11"/>
  <c r="K595" i="11"/>
  <c r="J595" i="11"/>
  <c r="I595" i="11"/>
  <c r="H595" i="11"/>
  <c r="K596" i="11"/>
  <c r="J596" i="11"/>
  <c r="I596" i="11"/>
  <c r="H596" i="11"/>
  <c r="K597" i="11"/>
  <c r="J597" i="11"/>
  <c r="I597" i="11"/>
  <c r="H597" i="11"/>
  <c r="K598" i="11"/>
  <c r="J598" i="11"/>
  <c r="I598" i="11"/>
  <c r="H598" i="11"/>
  <c r="K599" i="11"/>
  <c r="J599" i="11"/>
  <c r="I599" i="11"/>
  <c r="H599" i="11"/>
  <c r="K600" i="11"/>
  <c r="J600" i="11"/>
  <c r="I600" i="11"/>
  <c r="H600" i="11"/>
  <c r="K601" i="11"/>
  <c r="J601" i="11"/>
  <c r="I601" i="11"/>
  <c r="H601" i="11"/>
  <c r="K602" i="11"/>
  <c r="J602" i="11"/>
  <c r="I602" i="11"/>
  <c r="H602" i="11"/>
  <c r="K603" i="11"/>
  <c r="J603" i="11"/>
  <c r="I603" i="11"/>
  <c r="H603" i="11"/>
  <c r="K604" i="11"/>
  <c r="J604" i="11"/>
  <c r="I604" i="11"/>
  <c r="H604" i="11"/>
  <c r="K605" i="11"/>
  <c r="J605" i="11"/>
  <c r="I605" i="11"/>
  <c r="H605" i="11"/>
  <c r="K606" i="11"/>
  <c r="J606" i="11"/>
  <c r="I606" i="11"/>
  <c r="H606" i="11"/>
  <c r="K607" i="11"/>
  <c r="J607" i="11"/>
  <c r="I607" i="11"/>
  <c r="H607" i="11"/>
  <c r="K608" i="11"/>
  <c r="J608" i="11"/>
  <c r="I608" i="11"/>
  <c r="H608" i="11"/>
  <c r="K609" i="11"/>
  <c r="J609" i="11"/>
  <c r="I609" i="11"/>
  <c r="H609" i="11"/>
  <c r="K610" i="11"/>
  <c r="J610" i="11"/>
  <c r="I610" i="11"/>
  <c r="H610" i="11"/>
  <c r="K611" i="11"/>
  <c r="J611" i="11"/>
  <c r="I611" i="11"/>
  <c r="H611" i="11"/>
  <c r="K612" i="11"/>
  <c r="J612" i="11"/>
  <c r="I612" i="11"/>
  <c r="H612" i="11"/>
  <c r="K613" i="11"/>
  <c r="J613" i="11"/>
  <c r="I613" i="11"/>
  <c r="H613" i="11"/>
  <c r="K614" i="11"/>
  <c r="J614" i="11"/>
  <c r="I614" i="11"/>
  <c r="H614" i="11"/>
  <c r="K615" i="11"/>
  <c r="J615" i="11"/>
  <c r="I615" i="11"/>
  <c r="H615" i="11"/>
  <c r="K616" i="11"/>
  <c r="J616" i="11"/>
  <c r="I616" i="11"/>
  <c r="H616" i="11"/>
  <c r="K617" i="11"/>
  <c r="J617" i="11"/>
  <c r="I617" i="11"/>
  <c r="H617" i="11"/>
  <c r="K618" i="11"/>
  <c r="J618" i="11"/>
  <c r="I618" i="11"/>
  <c r="H618" i="11"/>
  <c r="K619" i="11"/>
  <c r="J619" i="11"/>
  <c r="I619" i="11"/>
  <c r="H619" i="11"/>
  <c r="K620" i="11"/>
  <c r="J620" i="11"/>
  <c r="I620" i="11"/>
  <c r="H620" i="11"/>
  <c r="K621" i="11"/>
  <c r="J621" i="11"/>
  <c r="I621" i="11"/>
  <c r="H621" i="11"/>
  <c r="K622" i="11"/>
  <c r="J622" i="11"/>
  <c r="I622" i="11"/>
  <c r="H622" i="11"/>
  <c r="K623" i="11"/>
  <c r="J623" i="11"/>
  <c r="I623" i="11"/>
  <c r="H623" i="11"/>
  <c r="K624" i="11"/>
  <c r="J624" i="11"/>
  <c r="I624" i="11"/>
  <c r="H624" i="11"/>
  <c r="K625" i="11"/>
  <c r="J625" i="11"/>
  <c r="I625" i="11"/>
  <c r="H625" i="11"/>
  <c r="K626" i="11"/>
  <c r="J626" i="11"/>
  <c r="I626" i="11"/>
  <c r="H626" i="11"/>
  <c r="K627" i="11"/>
  <c r="J627" i="11"/>
  <c r="I627" i="11"/>
  <c r="H627" i="11"/>
  <c r="K628" i="11"/>
  <c r="J628" i="11"/>
  <c r="I628" i="11"/>
  <c r="H628" i="11"/>
  <c r="K629" i="11"/>
  <c r="J629" i="11"/>
  <c r="I629" i="11"/>
  <c r="H629" i="11"/>
  <c r="K630" i="11"/>
  <c r="J630" i="11"/>
  <c r="I630" i="11"/>
  <c r="H630" i="11"/>
  <c r="K631" i="11"/>
  <c r="J631" i="11"/>
  <c r="I631" i="11"/>
  <c r="H631" i="11"/>
  <c r="K632" i="11"/>
  <c r="J632" i="11"/>
  <c r="I632" i="11"/>
  <c r="H632" i="11"/>
  <c r="K633" i="11"/>
  <c r="J633" i="11"/>
  <c r="I633" i="11"/>
  <c r="H633" i="11"/>
  <c r="K634" i="11"/>
  <c r="J634" i="11"/>
  <c r="I634" i="11"/>
  <c r="H634" i="11"/>
  <c r="K635" i="11"/>
  <c r="J635" i="11"/>
  <c r="I635" i="11"/>
  <c r="H635" i="11"/>
  <c r="K636" i="11"/>
  <c r="J636" i="11"/>
  <c r="I636" i="11"/>
  <c r="H636" i="11"/>
  <c r="K637" i="11"/>
  <c r="J637" i="11"/>
  <c r="I637" i="11"/>
  <c r="H637" i="11"/>
  <c r="K638" i="11"/>
  <c r="J638" i="11"/>
  <c r="I638" i="11"/>
  <c r="H638" i="11"/>
  <c r="K639" i="11"/>
  <c r="J639" i="11"/>
  <c r="I639" i="11"/>
  <c r="H639" i="11"/>
  <c r="K640" i="11"/>
  <c r="J640" i="11"/>
  <c r="I640" i="11"/>
  <c r="H640" i="11"/>
  <c r="K641" i="11"/>
  <c r="J641" i="11"/>
  <c r="I641" i="11"/>
  <c r="H641" i="11"/>
  <c r="K642" i="11"/>
  <c r="J642" i="11"/>
  <c r="I642" i="11"/>
  <c r="H642" i="11"/>
  <c r="K643" i="11"/>
  <c r="J643" i="11"/>
  <c r="I643" i="11"/>
  <c r="H643" i="11"/>
  <c r="K644" i="11"/>
  <c r="J644" i="11"/>
  <c r="I644" i="11"/>
  <c r="H644" i="11"/>
  <c r="K645" i="11"/>
  <c r="J645" i="11"/>
  <c r="I645" i="11"/>
  <c r="H645" i="11"/>
  <c r="K646" i="11"/>
  <c r="J646" i="11"/>
  <c r="I646" i="11"/>
  <c r="H646" i="11"/>
  <c r="K647" i="11"/>
  <c r="J647" i="11"/>
  <c r="I647" i="11"/>
  <c r="H647" i="11"/>
  <c r="K648" i="11"/>
  <c r="J648" i="11"/>
  <c r="I648" i="11"/>
  <c r="H648" i="11"/>
  <c r="K649" i="11"/>
  <c r="J649" i="11"/>
  <c r="I649" i="11"/>
  <c r="H649" i="11"/>
  <c r="K650" i="11"/>
  <c r="J650" i="11"/>
  <c r="I650" i="11"/>
  <c r="H650" i="11"/>
  <c r="K651" i="11"/>
  <c r="J651" i="11"/>
  <c r="I651" i="11"/>
  <c r="H651" i="11"/>
  <c r="K652" i="11"/>
  <c r="J652" i="11"/>
  <c r="I652" i="11"/>
  <c r="H652" i="11"/>
  <c r="K653" i="11"/>
  <c r="J653" i="11"/>
  <c r="I653" i="11"/>
  <c r="H653" i="11"/>
  <c r="K654" i="11"/>
  <c r="J654" i="11"/>
  <c r="I654" i="11"/>
  <c r="H654" i="11"/>
  <c r="K655" i="11"/>
  <c r="J655" i="11"/>
  <c r="I655" i="11"/>
  <c r="H655" i="11"/>
  <c r="K656" i="11"/>
  <c r="J656" i="11"/>
  <c r="I656" i="11"/>
  <c r="H656" i="11"/>
  <c r="K657" i="11"/>
  <c r="J657" i="11"/>
  <c r="I657" i="11"/>
  <c r="H657" i="11"/>
  <c r="K658" i="11"/>
  <c r="J658" i="11"/>
  <c r="I658" i="11"/>
  <c r="H658" i="11"/>
  <c r="K659" i="11"/>
  <c r="J659" i="11"/>
  <c r="I659" i="11"/>
  <c r="H659" i="11"/>
  <c r="K660" i="11"/>
  <c r="J660" i="11"/>
  <c r="I660" i="11"/>
  <c r="H660" i="11"/>
  <c r="K661" i="11"/>
  <c r="J661" i="11"/>
  <c r="I661" i="11"/>
  <c r="H661" i="11"/>
  <c r="K662" i="11"/>
  <c r="J662" i="11"/>
  <c r="I662" i="11"/>
  <c r="H662" i="11"/>
  <c r="K663" i="11"/>
  <c r="J663" i="11"/>
  <c r="I663" i="11"/>
  <c r="H663" i="11"/>
  <c r="K664" i="11"/>
  <c r="J664" i="11"/>
  <c r="I664" i="11"/>
  <c r="H664" i="11"/>
  <c r="K665" i="11"/>
  <c r="J665" i="11"/>
  <c r="I665" i="11"/>
  <c r="H665" i="11"/>
  <c r="K666" i="11"/>
  <c r="J666" i="11"/>
  <c r="I666" i="11"/>
  <c r="H666" i="11"/>
  <c r="K667" i="11"/>
  <c r="J667" i="11"/>
  <c r="I667" i="11"/>
  <c r="H667" i="11"/>
  <c r="K668" i="11"/>
  <c r="J668" i="11"/>
  <c r="I668" i="11"/>
  <c r="H668" i="11"/>
  <c r="K669" i="11"/>
  <c r="J669" i="11"/>
  <c r="I669" i="11"/>
  <c r="H669" i="11"/>
  <c r="K670" i="11"/>
  <c r="J670" i="11"/>
  <c r="I670" i="11"/>
  <c r="H670" i="11"/>
  <c r="K671" i="11"/>
  <c r="J671" i="11"/>
  <c r="I671" i="11"/>
  <c r="H671" i="11"/>
  <c r="K672" i="11"/>
  <c r="J672" i="11"/>
  <c r="I672" i="11"/>
  <c r="H672" i="11"/>
  <c r="K673" i="11"/>
  <c r="J673" i="11"/>
  <c r="I673" i="11"/>
  <c r="H673" i="11"/>
  <c r="K674" i="11"/>
  <c r="J674" i="11"/>
  <c r="I674" i="11"/>
  <c r="H674" i="11"/>
  <c r="K675" i="11"/>
  <c r="J675" i="11"/>
  <c r="I675" i="11"/>
  <c r="H675" i="11"/>
  <c r="K676" i="11"/>
  <c r="J676" i="11"/>
  <c r="I676" i="11"/>
  <c r="H676" i="11"/>
  <c r="K677" i="11"/>
  <c r="J677" i="11"/>
  <c r="I677" i="11"/>
  <c r="H677" i="11"/>
  <c r="K678" i="11"/>
  <c r="J678" i="11"/>
  <c r="I678" i="11"/>
  <c r="H678" i="11"/>
  <c r="K679" i="11"/>
  <c r="J679" i="11"/>
  <c r="I679" i="11"/>
  <c r="H679" i="11"/>
  <c r="K680" i="11"/>
  <c r="J680" i="11"/>
  <c r="I680" i="11"/>
  <c r="H680" i="11"/>
  <c r="K681" i="11"/>
  <c r="J681" i="11"/>
  <c r="I681" i="11"/>
  <c r="H681" i="11"/>
  <c r="K682" i="11"/>
  <c r="J682" i="11"/>
  <c r="I682" i="11"/>
  <c r="H682" i="11"/>
  <c r="K683" i="11"/>
  <c r="J683" i="11"/>
  <c r="I683" i="11"/>
  <c r="H683" i="11"/>
  <c r="K684" i="11"/>
  <c r="J684" i="11"/>
  <c r="I684" i="11"/>
  <c r="H684" i="11"/>
  <c r="K685" i="11"/>
  <c r="J685" i="11"/>
  <c r="I685" i="11"/>
  <c r="H685" i="11"/>
  <c r="K686" i="11"/>
  <c r="J686" i="11"/>
  <c r="I686" i="11"/>
  <c r="H686" i="11"/>
  <c r="K16" i="11"/>
  <c r="J16" i="11"/>
  <c r="I16" i="11"/>
  <c r="H16" i="11"/>
  <c r="K15" i="11"/>
  <c r="J15" i="11"/>
  <c r="I15" i="11"/>
  <c r="H15" i="11"/>
  <c r="K14" i="11"/>
  <c r="J14" i="11"/>
  <c r="I14" i="11"/>
  <c r="H14" i="11"/>
  <c r="K13" i="11"/>
  <c r="J13" i="11"/>
  <c r="I13" i="11"/>
  <c r="H13" i="11"/>
  <c r="K12" i="11"/>
  <c r="J12" i="11"/>
  <c r="I12" i="11"/>
  <c r="H12" i="11"/>
  <c r="K11" i="11"/>
  <c r="J11" i="11"/>
  <c r="I11" i="11"/>
  <c r="H11" i="11"/>
  <c r="K10" i="11"/>
  <c r="J10" i="11"/>
  <c r="I10" i="11"/>
  <c r="H10" i="11"/>
  <c r="K9" i="11"/>
  <c r="J9" i="11"/>
  <c r="I9" i="11"/>
  <c r="H9" i="11"/>
  <c r="K8" i="11"/>
  <c r="J8" i="11"/>
  <c r="I8" i="11"/>
  <c r="H8" i="11"/>
  <c r="K7" i="11"/>
  <c r="J7" i="11"/>
  <c r="I7" i="11"/>
  <c r="H7" i="11"/>
  <c r="K6" i="11"/>
  <c r="J6" i="11"/>
  <c r="I6" i="11"/>
  <c r="H6" i="11"/>
  <c r="A35" i="6" l="1"/>
  <c r="B35" i="6"/>
  <c r="C35" i="6"/>
  <c r="E35" i="6"/>
  <c r="F35" i="6"/>
  <c r="G35" i="6"/>
  <c r="H35" i="6"/>
  <c r="I35" i="6"/>
  <c r="J35" i="6"/>
  <c r="K35" i="6"/>
  <c r="L35" i="6"/>
  <c r="M35" i="6"/>
  <c r="N35" i="6"/>
  <c r="O35" i="6"/>
  <c r="P35" i="6"/>
  <c r="Q35" i="6"/>
  <c r="R35" i="6"/>
  <c r="S35" i="6"/>
  <c r="T35" i="6"/>
  <c r="A36" i="6"/>
  <c r="B36" i="6"/>
  <c r="C36" i="6"/>
  <c r="E36" i="6"/>
  <c r="F36" i="6"/>
  <c r="G36" i="6"/>
  <c r="H36" i="6"/>
  <c r="I36" i="6"/>
  <c r="J36" i="6"/>
  <c r="K36" i="6"/>
  <c r="L36" i="6"/>
  <c r="M36" i="6"/>
  <c r="N36" i="6"/>
  <c r="O36" i="6"/>
  <c r="P36" i="6"/>
  <c r="Q36" i="6"/>
  <c r="R36" i="6"/>
  <c r="S36" i="6"/>
  <c r="T36" i="6"/>
  <c r="A37" i="6"/>
  <c r="B37" i="6"/>
  <c r="C37" i="6"/>
  <c r="E37" i="6"/>
  <c r="F37" i="6"/>
  <c r="G37" i="6"/>
  <c r="H37" i="6"/>
  <c r="I37" i="6"/>
  <c r="J37" i="6"/>
  <c r="K37" i="6"/>
  <c r="L37" i="6"/>
  <c r="M37" i="6"/>
  <c r="N37" i="6"/>
  <c r="O37" i="6"/>
  <c r="P37" i="6"/>
  <c r="Q37" i="6"/>
  <c r="R37" i="6"/>
  <c r="S37" i="6"/>
  <c r="T37" i="6"/>
  <c r="A38" i="6"/>
  <c r="B38" i="6"/>
  <c r="C38" i="6"/>
  <c r="E38" i="6"/>
  <c r="F38" i="6"/>
  <c r="G38" i="6"/>
  <c r="H38" i="6"/>
  <c r="I38" i="6"/>
  <c r="J38" i="6"/>
  <c r="K38" i="6"/>
  <c r="L38" i="6"/>
  <c r="M38" i="6"/>
  <c r="N38" i="6"/>
  <c r="O38" i="6"/>
  <c r="P38" i="6"/>
  <c r="Q38" i="6"/>
  <c r="R38" i="6"/>
  <c r="S38" i="6"/>
  <c r="T38" i="6"/>
  <c r="A39" i="6"/>
  <c r="B39" i="6"/>
  <c r="C39" i="6"/>
  <c r="E39" i="6"/>
  <c r="F39" i="6"/>
  <c r="G39" i="6"/>
  <c r="H39" i="6"/>
  <c r="I39" i="6"/>
  <c r="J39" i="6"/>
  <c r="K39" i="6"/>
  <c r="L39" i="6"/>
  <c r="M39" i="6"/>
  <c r="N39" i="6"/>
  <c r="O39" i="6"/>
  <c r="P39" i="6"/>
  <c r="Q39" i="6"/>
  <c r="R39" i="6"/>
  <c r="S39" i="6"/>
  <c r="T39" i="6"/>
  <c r="A40" i="6"/>
  <c r="B40" i="6"/>
  <c r="C40" i="6"/>
  <c r="E40" i="6"/>
  <c r="F40" i="6"/>
  <c r="G40" i="6"/>
  <c r="H40" i="6"/>
  <c r="I40" i="6"/>
  <c r="J40" i="6"/>
  <c r="K40" i="6"/>
  <c r="L40" i="6"/>
  <c r="M40" i="6"/>
  <c r="N40" i="6"/>
  <c r="O40" i="6"/>
  <c r="P40" i="6"/>
  <c r="Q40" i="6"/>
  <c r="R40" i="6"/>
  <c r="S40" i="6"/>
  <c r="T40" i="6"/>
  <c r="A41" i="6"/>
  <c r="B41" i="6"/>
  <c r="C41" i="6"/>
  <c r="E41" i="6"/>
  <c r="F41" i="6"/>
  <c r="G41" i="6"/>
  <c r="H41" i="6"/>
  <c r="I41" i="6"/>
  <c r="J41" i="6"/>
  <c r="K41" i="6"/>
  <c r="L41" i="6"/>
  <c r="M41" i="6"/>
  <c r="N41" i="6"/>
  <c r="O41" i="6"/>
  <c r="P41" i="6"/>
  <c r="Q41" i="6"/>
  <c r="R41" i="6"/>
  <c r="S41" i="6"/>
  <c r="T41" i="6"/>
  <c r="A42" i="6"/>
  <c r="B42" i="6"/>
  <c r="C42" i="6"/>
  <c r="E42" i="6"/>
  <c r="F42" i="6"/>
  <c r="G42" i="6"/>
  <c r="H42" i="6"/>
  <c r="I42" i="6"/>
  <c r="J42" i="6"/>
  <c r="K42" i="6"/>
  <c r="L42" i="6"/>
  <c r="M42" i="6"/>
  <c r="N42" i="6"/>
  <c r="O42" i="6"/>
  <c r="P42" i="6"/>
  <c r="Q42" i="6"/>
  <c r="R42" i="6"/>
  <c r="S42" i="6"/>
  <c r="T42" i="6"/>
  <c r="A43" i="6"/>
  <c r="B43" i="6"/>
  <c r="C43" i="6"/>
  <c r="E43" i="6"/>
  <c r="F43" i="6"/>
  <c r="G43" i="6"/>
  <c r="H43" i="6"/>
  <c r="I43" i="6"/>
  <c r="J43" i="6"/>
  <c r="K43" i="6"/>
  <c r="L43" i="6"/>
  <c r="M43" i="6"/>
  <c r="N43" i="6"/>
  <c r="O43" i="6"/>
  <c r="P43" i="6"/>
  <c r="Q43" i="6"/>
  <c r="R43" i="6"/>
  <c r="S43" i="6"/>
  <c r="T43" i="6"/>
  <c r="A44" i="6"/>
  <c r="B44" i="6"/>
  <c r="C44" i="6"/>
  <c r="E44" i="6"/>
  <c r="F44" i="6"/>
  <c r="G44" i="6"/>
  <c r="H44" i="6"/>
  <c r="I44" i="6"/>
  <c r="J44" i="6"/>
  <c r="K44" i="6"/>
  <c r="L44" i="6"/>
  <c r="M44" i="6"/>
  <c r="N44" i="6"/>
  <c r="O44" i="6"/>
  <c r="P44" i="6"/>
  <c r="Q44" i="6"/>
  <c r="R44" i="6"/>
  <c r="S44" i="6"/>
  <c r="T44" i="6"/>
  <c r="A45" i="6"/>
  <c r="B45" i="6"/>
  <c r="C45" i="6"/>
  <c r="E45" i="6"/>
  <c r="F45" i="6"/>
  <c r="G45" i="6"/>
  <c r="H45" i="6"/>
  <c r="I45" i="6"/>
  <c r="J45" i="6"/>
  <c r="K45" i="6"/>
  <c r="L45" i="6"/>
  <c r="M45" i="6"/>
  <c r="N45" i="6"/>
  <c r="O45" i="6"/>
  <c r="P45" i="6"/>
  <c r="Q45" i="6"/>
  <c r="R45" i="6"/>
  <c r="S45" i="6"/>
  <c r="T45" i="6"/>
  <c r="A46" i="6"/>
  <c r="B46" i="6"/>
  <c r="C46" i="6"/>
  <c r="E46" i="6"/>
  <c r="F46" i="6"/>
  <c r="G46" i="6"/>
  <c r="H46" i="6"/>
  <c r="I46" i="6"/>
  <c r="J46" i="6"/>
  <c r="K46" i="6"/>
  <c r="L46" i="6"/>
  <c r="M46" i="6"/>
  <c r="N46" i="6"/>
  <c r="O46" i="6"/>
  <c r="P46" i="6"/>
  <c r="Q46" i="6"/>
  <c r="R46" i="6"/>
  <c r="S46" i="6"/>
  <c r="T46" i="6"/>
  <c r="A47" i="6"/>
  <c r="B47" i="6"/>
  <c r="C47" i="6"/>
  <c r="E47" i="6"/>
  <c r="F47" i="6"/>
  <c r="G47" i="6"/>
  <c r="H47" i="6"/>
  <c r="I47" i="6"/>
  <c r="J47" i="6"/>
  <c r="K47" i="6"/>
  <c r="L47" i="6"/>
  <c r="M47" i="6"/>
  <c r="N47" i="6"/>
  <c r="O47" i="6"/>
  <c r="P47" i="6"/>
  <c r="Q47" i="6"/>
  <c r="R47" i="6"/>
  <c r="S47" i="6"/>
  <c r="T47" i="6"/>
  <c r="A48" i="6"/>
  <c r="B48" i="6"/>
  <c r="C48" i="6"/>
  <c r="E48" i="6"/>
  <c r="F48" i="6"/>
  <c r="G48" i="6"/>
  <c r="H48" i="6"/>
  <c r="I48" i="6"/>
  <c r="J48" i="6"/>
  <c r="K48" i="6"/>
  <c r="L48" i="6"/>
  <c r="M48" i="6"/>
  <c r="N48" i="6"/>
  <c r="O48" i="6"/>
  <c r="P48" i="6"/>
  <c r="Q48" i="6"/>
  <c r="R48" i="6"/>
  <c r="S48" i="6"/>
  <c r="T48" i="6"/>
  <c r="A49" i="6"/>
  <c r="B49" i="6"/>
  <c r="C49" i="6"/>
  <c r="E49" i="6"/>
  <c r="F49" i="6"/>
  <c r="G49" i="6"/>
  <c r="H49" i="6"/>
  <c r="I49" i="6"/>
  <c r="J49" i="6"/>
  <c r="K49" i="6"/>
  <c r="L49" i="6"/>
  <c r="M49" i="6"/>
  <c r="N49" i="6"/>
  <c r="O49" i="6"/>
  <c r="P49" i="6"/>
  <c r="Q49" i="6"/>
  <c r="R49" i="6"/>
  <c r="S49" i="6"/>
  <c r="T49" i="6"/>
  <c r="A50" i="6"/>
  <c r="B50" i="6"/>
  <c r="C50" i="6"/>
  <c r="E50" i="6"/>
  <c r="F50" i="6"/>
  <c r="G50" i="6"/>
  <c r="H50" i="6"/>
  <c r="I50" i="6"/>
  <c r="J50" i="6"/>
  <c r="K50" i="6"/>
  <c r="L50" i="6"/>
  <c r="M50" i="6"/>
  <c r="N50" i="6"/>
  <c r="O50" i="6"/>
  <c r="P50" i="6"/>
  <c r="Q50" i="6"/>
  <c r="R50" i="6"/>
  <c r="S50" i="6"/>
  <c r="T50" i="6"/>
  <c r="A51" i="6"/>
  <c r="B51" i="6"/>
  <c r="C51" i="6"/>
  <c r="E51" i="6"/>
  <c r="F51" i="6"/>
  <c r="G51" i="6"/>
  <c r="H51" i="6"/>
  <c r="I51" i="6"/>
  <c r="J51" i="6"/>
  <c r="K51" i="6"/>
  <c r="L51" i="6"/>
  <c r="M51" i="6"/>
  <c r="N51" i="6"/>
  <c r="O51" i="6"/>
  <c r="P51" i="6"/>
  <c r="Q51" i="6"/>
  <c r="R51" i="6"/>
  <c r="S51" i="6"/>
  <c r="T51" i="6"/>
  <c r="A52" i="6"/>
  <c r="B52" i="6"/>
  <c r="C52" i="6"/>
  <c r="E52" i="6"/>
  <c r="F52" i="6"/>
  <c r="G52" i="6"/>
  <c r="H52" i="6"/>
  <c r="I52" i="6"/>
  <c r="J52" i="6"/>
  <c r="K52" i="6"/>
  <c r="L52" i="6"/>
  <c r="M52" i="6"/>
  <c r="N52" i="6"/>
  <c r="O52" i="6"/>
  <c r="P52" i="6"/>
  <c r="Q52" i="6"/>
  <c r="R52" i="6"/>
  <c r="S52" i="6"/>
  <c r="T52" i="6"/>
  <c r="A53" i="6"/>
  <c r="B53" i="6"/>
  <c r="C53" i="6"/>
  <c r="E53" i="6"/>
  <c r="F53" i="6"/>
  <c r="G53" i="6"/>
  <c r="H53" i="6"/>
  <c r="I53" i="6"/>
  <c r="J53" i="6"/>
  <c r="K53" i="6"/>
  <c r="L53" i="6"/>
  <c r="M53" i="6"/>
  <c r="N53" i="6"/>
  <c r="O53" i="6"/>
  <c r="P53" i="6"/>
  <c r="Q53" i="6"/>
  <c r="R53" i="6"/>
  <c r="S53" i="6"/>
  <c r="T53" i="6"/>
  <c r="A54" i="6"/>
  <c r="B54" i="6"/>
  <c r="C54" i="6"/>
  <c r="E54" i="6"/>
  <c r="F54" i="6"/>
  <c r="G54" i="6"/>
  <c r="H54" i="6"/>
  <c r="I54" i="6"/>
  <c r="J54" i="6"/>
  <c r="K54" i="6"/>
  <c r="L54" i="6"/>
  <c r="M54" i="6"/>
  <c r="N54" i="6"/>
  <c r="O54" i="6"/>
  <c r="P54" i="6"/>
  <c r="Q54" i="6"/>
  <c r="R54" i="6"/>
  <c r="S54" i="6"/>
  <c r="T54" i="6"/>
  <c r="A55" i="6"/>
  <c r="B55" i="6"/>
  <c r="C55" i="6"/>
  <c r="E55" i="6"/>
  <c r="F55" i="6"/>
  <c r="G55" i="6"/>
  <c r="H55" i="6"/>
  <c r="I55" i="6"/>
  <c r="J55" i="6"/>
  <c r="K55" i="6"/>
  <c r="L55" i="6"/>
  <c r="M55" i="6"/>
  <c r="N55" i="6"/>
  <c r="O55" i="6"/>
  <c r="P55" i="6"/>
  <c r="Q55" i="6"/>
  <c r="R55" i="6"/>
  <c r="S55" i="6"/>
  <c r="T55" i="6"/>
  <c r="A56" i="6"/>
  <c r="B56" i="6"/>
  <c r="C56" i="6"/>
  <c r="E56" i="6"/>
  <c r="F56" i="6"/>
  <c r="G56" i="6"/>
  <c r="H56" i="6"/>
  <c r="I56" i="6"/>
  <c r="J56" i="6"/>
  <c r="K56" i="6"/>
  <c r="L56" i="6"/>
  <c r="M56" i="6"/>
  <c r="N56" i="6"/>
  <c r="O56" i="6"/>
  <c r="P56" i="6"/>
  <c r="Q56" i="6"/>
  <c r="R56" i="6"/>
  <c r="S56" i="6"/>
  <c r="T56" i="6"/>
  <c r="A57" i="6"/>
  <c r="B57" i="6"/>
  <c r="C57" i="6"/>
  <c r="E57" i="6"/>
  <c r="F57" i="6"/>
  <c r="G57" i="6"/>
  <c r="H57" i="6"/>
  <c r="I57" i="6"/>
  <c r="J57" i="6"/>
  <c r="K57" i="6"/>
  <c r="L57" i="6"/>
  <c r="M57" i="6"/>
  <c r="N57" i="6"/>
  <c r="O57" i="6"/>
  <c r="P57" i="6"/>
  <c r="Q57" i="6"/>
  <c r="R57" i="6"/>
  <c r="S57" i="6"/>
  <c r="T57" i="6"/>
  <c r="A58" i="6"/>
  <c r="B58" i="6"/>
  <c r="C58" i="6"/>
  <c r="E58" i="6"/>
  <c r="F58" i="6"/>
  <c r="G58" i="6"/>
  <c r="H58" i="6"/>
  <c r="I58" i="6"/>
  <c r="J58" i="6"/>
  <c r="K58" i="6"/>
  <c r="L58" i="6"/>
  <c r="M58" i="6"/>
  <c r="N58" i="6"/>
  <c r="O58" i="6"/>
  <c r="P58" i="6"/>
  <c r="Q58" i="6"/>
  <c r="R58" i="6"/>
  <c r="S58" i="6"/>
  <c r="T58" i="6"/>
  <c r="A59" i="6"/>
  <c r="B59" i="6"/>
  <c r="C59" i="6"/>
  <c r="E59" i="6"/>
  <c r="F59" i="6"/>
  <c r="G59" i="6"/>
  <c r="H59" i="6"/>
  <c r="I59" i="6"/>
  <c r="J59" i="6"/>
  <c r="K59" i="6"/>
  <c r="L59" i="6"/>
  <c r="M59" i="6"/>
  <c r="N59" i="6"/>
  <c r="O59" i="6"/>
  <c r="P59" i="6"/>
  <c r="Q59" i="6"/>
  <c r="R59" i="6"/>
  <c r="S59" i="6"/>
  <c r="T59" i="6"/>
  <c r="A60" i="6"/>
  <c r="B60" i="6"/>
  <c r="C60" i="6"/>
  <c r="E60" i="6"/>
  <c r="F60" i="6"/>
  <c r="G60" i="6"/>
  <c r="H60" i="6"/>
  <c r="I60" i="6"/>
  <c r="J60" i="6"/>
  <c r="K60" i="6"/>
  <c r="L60" i="6"/>
  <c r="M60" i="6"/>
  <c r="N60" i="6"/>
  <c r="O60" i="6"/>
  <c r="P60" i="6"/>
  <c r="Q60" i="6"/>
  <c r="R60" i="6"/>
  <c r="S60" i="6"/>
  <c r="T60" i="6"/>
  <c r="K34" i="6"/>
  <c r="J34" i="6"/>
  <c r="K5" i="6"/>
  <c r="K6" i="6"/>
  <c r="K7" i="6"/>
  <c r="K8" i="6"/>
  <c r="K9" i="6"/>
  <c r="K10" i="6"/>
  <c r="K11" i="6"/>
  <c r="K12" i="6"/>
  <c r="K13" i="6"/>
  <c r="K14" i="6"/>
  <c r="K15" i="6"/>
  <c r="K16" i="6"/>
  <c r="K17" i="6"/>
  <c r="K18" i="6"/>
  <c r="K19" i="6"/>
  <c r="K20" i="6"/>
  <c r="K21" i="6"/>
  <c r="K22" i="6"/>
  <c r="K23" i="6"/>
  <c r="K24" i="6"/>
  <c r="K25" i="6"/>
  <c r="K26" i="6"/>
  <c r="K27" i="6"/>
  <c r="K28" i="6"/>
  <c r="K29" i="6"/>
  <c r="K30" i="6"/>
  <c r="K4" i="6"/>
  <c r="J3" i="11" l="1"/>
  <c r="AH4" i="1" l="1"/>
  <c r="AG6" i="1"/>
  <c r="AH6" i="1" s="1"/>
  <c r="AM6" i="1" s="1"/>
  <c r="AG7" i="1"/>
  <c r="AH7" i="1" s="1"/>
  <c r="AM7" i="1" s="1"/>
  <c r="Z10" i="1"/>
  <c r="AB17" i="1"/>
  <c r="AC17" i="1" s="1"/>
  <c r="AU17" i="1"/>
  <c r="AV17" i="1"/>
  <c r="AX17" i="1"/>
  <c r="BB17" i="1"/>
  <c r="BC17" i="1"/>
  <c r="BE17" i="1"/>
  <c r="AB18" i="1"/>
  <c r="AT18" i="1"/>
  <c r="AU18" i="1"/>
  <c r="AV18" i="1"/>
  <c r="AX18" i="1"/>
  <c r="BB18" i="1"/>
  <c r="BC18" i="1"/>
  <c r="BE18" i="1"/>
  <c r="AB19" i="1"/>
  <c r="AT19" i="1"/>
  <c r="AU19" i="1"/>
  <c r="AV19" i="1"/>
  <c r="AX19" i="1"/>
  <c r="BB19" i="1"/>
  <c r="BC19" i="1"/>
  <c r="BE19" i="1"/>
  <c r="AB20" i="1"/>
  <c r="AY20" i="1" s="1"/>
  <c r="AT20" i="1"/>
  <c r="AU20" i="1"/>
  <c r="AV20" i="1"/>
  <c r="AX20" i="1"/>
  <c r="BB20" i="1"/>
  <c r="BC20" i="1"/>
  <c r="BE20" i="1"/>
  <c r="AB21" i="1"/>
  <c r="AY21" i="1" s="1"/>
  <c r="AT21" i="1"/>
  <c r="AU21" i="1"/>
  <c r="AV21" i="1"/>
  <c r="AX21" i="1"/>
  <c r="BB21" i="1"/>
  <c r="BC21" i="1"/>
  <c r="BE21" i="1"/>
  <c r="AB22" i="1"/>
  <c r="AT22" i="1"/>
  <c r="AU22" i="1"/>
  <c r="AV22" i="1"/>
  <c r="AX22" i="1"/>
  <c r="BB22" i="1"/>
  <c r="BC22" i="1"/>
  <c r="BE22" i="1"/>
  <c r="BG22" i="1"/>
  <c r="AB23" i="1"/>
  <c r="BD23" i="1" s="1"/>
  <c r="AT23" i="1"/>
  <c r="AU23" i="1"/>
  <c r="AV23" i="1"/>
  <c r="AX23" i="1"/>
  <c r="BB23" i="1"/>
  <c r="BC23" i="1"/>
  <c r="BE23" i="1"/>
  <c r="AB24" i="1"/>
  <c r="AC24" i="1" s="1"/>
  <c r="AT24" i="1"/>
  <c r="AU24" i="1"/>
  <c r="AV24" i="1"/>
  <c r="AX24" i="1"/>
  <c r="BB24" i="1"/>
  <c r="BC24" i="1"/>
  <c r="BE24" i="1"/>
  <c r="AB25" i="1"/>
  <c r="AC25" i="1" s="1"/>
  <c r="AT25" i="1"/>
  <c r="AU25" i="1"/>
  <c r="AV25" i="1"/>
  <c r="AX25" i="1"/>
  <c r="BB25" i="1"/>
  <c r="BC25" i="1"/>
  <c r="BE25" i="1"/>
  <c r="AB26" i="1"/>
  <c r="AY26" i="1" s="1"/>
  <c r="AT26" i="1"/>
  <c r="AU26" i="1"/>
  <c r="AV26" i="1"/>
  <c r="AX26" i="1"/>
  <c r="BB26" i="1"/>
  <c r="BC26" i="1"/>
  <c r="BE26" i="1"/>
  <c r="AB27" i="1"/>
  <c r="AT27" i="1"/>
  <c r="AU27" i="1"/>
  <c r="AV27" i="1"/>
  <c r="AW27" i="1"/>
  <c r="AX27" i="1"/>
  <c r="BB27" i="1"/>
  <c r="BC27" i="1"/>
  <c r="BE27" i="1"/>
  <c r="AB28" i="1"/>
  <c r="AC28" i="1" s="1"/>
  <c r="AT28" i="1"/>
  <c r="AU28" i="1"/>
  <c r="AV28" i="1"/>
  <c r="AX28" i="1"/>
  <c r="BB28" i="1"/>
  <c r="BC28" i="1"/>
  <c r="BE28" i="1"/>
  <c r="AB29" i="1"/>
  <c r="AC29" i="1" s="1"/>
  <c r="AT29" i="1"/>
  <c r="AU29" i="1"/>
  <c r="AV29" i="1"/>
  <c r="AX29" i="1"/>
  <c r="BB29" i="1"/>
  <c r="BC29" i="1"/>
  <c r="BE29" i="1"/>
  <c r="AB30" i="1"/>
  <c r="AY30" i="1" s="1"/>
  <c r="AT30" i="1"/>
  <c r="AU30" i="1"/>
  <c r="AV30" i="1"/>
  <c r="AX30" i="1"/>
  <c r="BB30" i="1"/>
  <c r="BC30" i="1"/>
  <c r="BE30" i="1"/>
  <c r="AB31" i="1"/>
  <c r="AC31" i="1" s="1"/>
  <c r="AT31" i="1"/>
  <c r="AU31" i="1"/>
  <c r="AV31" i="1"/>
  <c r="AX31" i="1"/>
  <c r="BB31" i="1"/>
  <c r="BC31" i="1"/>
  <c r="BE31" i="1"/>
  <c r="AB32" i="1"/>
  <c r="AY32" i="1" s="1"/>
  <c r="AT32" i="1"/>
  <c r="AU32" i="1"/>
  <c r="AV32" i="1"/>
  <c r="AX32" i="1"/>
  <c r="BB32" i="1"/>
  <c r="BC32" i="1"/>
  <c r="BE32" i="1"/>
  <c r="AB33" i="1"/>
  <c r="AZ33" i="1" s="1"/>
  <c r="AT33" i="1"/>
  <c r="AU33" i="1"/>
  <c r="AV33" i="1"/>
  <c r="AX33" i="1"/>
  <c r="BB33" i="1"/>
  <c r="BC33" i="1"/>
  <c r="BE33" i="1"/>
  <c r="AB34" i="1"/>
  <c r="AY34" i="1" s="1"/>
  <c r="AT34" i="1"/>
  <c r="AU34" i="1"/>
  <c r="AV34" i="1"/>
  <c r="AX34" i="1"/>
  <c r="BB34" i="1"/>
  <c r="BC34" i="1"/>
  <c r="BE34" i="1"/>
  <c r="AB35" i="1"/>
  <c r="AC35" i="1" s="1"/>
  <c r="AT35" i="1"/>
  <c r="AU35" i="1"/>
  <c r="AV35" i="1"/>
  <c r="AX35" i="1"/>
  <c r="BB35" i="1"/>
  <c r="BC35" i="1"/>
  <c r="BE35" i="1"/>
  <c r="AB36" i="1"/>
  <c r="AY36" i="1" s="1"/>
  <c r="AT36" i="1"/>
  <c r="AU36" i="1"/>
  <c r="AV36" i="1"/>
  <c r="AX36" i="1"/>
  <c r="BB36" i="1"/>
  <c r="BC36" i="1"/>
  <c r="BE36" i="1"/>
  <c r="AB37" i="1"/>
  <c r="AT37" i="1"/>
  <c r="AU37" i="1"/>
  <c r="AV37" i="1"/>
  <c r="AX37" i="1"/>
  <c r="BB37" i="1"/>
  <c r="BC37" i="1"/>
  <c r="BE37" i="1"/>
  <c r="AB38" i="1"/>
  <c r="AZ38" i="1" s="1"/>
  <c r="AT38" i="1"/>
  <c r="AU38" i="1"/>
  <c r="AV38" i="1"/>
  <c r="AX38" i="1"/>
  <c r="BB38" i="1"/>
  <c r="BC38" i="1"/>
  <c r="BE38" i="1"/>
  <c r="AB39" i="1"/>
  <c r="AT39" i="1"/>
  <c r="AU39" i="1"/>
  <c r="AV39" i="1"/>
  <c r="AX39" i="1"/>
  <c r="BB39" i="1"/>
  <c r="BC39" i="1"/>
  <c r="BE39" i="1"/>
  <c r="AB40" i="1"/>
  <c r="AY40" i="1" s="1"/>
  <c r="AC40" i="1"/>
  <c r="AT40" i="1"/>
  <c r="AU40" i="1"/>
  <c r="AV40" i="1"/>
  <c r="AX40" i="1"/>
  <c r="BB40" i="1"/>
  <c r="BC40" i="1"/>
  <c r="BE40" i="1"/>
  <c r="AB41" i="1"/>
  <c r="BD41" i="1" s="1"/>
  <c r="BF41" i="1" s="1"/>
  <c r="AT41" i="1"/>
  <c r="AU41" i="1"/>
  <c r="AV41" i="1"/>
  <c r="AX41" i="1"/>
  <c r="AY41" i="1"/>
  <c r="BB41" i="1"/>
  <c r="BC41" i="1"/>
  <c r="BE41" i="1"/>
  <c r="AB42" i="1"/>
  <c r="AY42" i="1" s="1"/>
  <c r="AT42" i="1"/>
  <c r="AU42" i="1"/>
  <c r="AV42" i="1"/>
  <c r="AX42" i="1"/>
  <c r="BB42" i="1"/>
  <c r="BC42" i="1"/>
  <c r="BE42" i="1"/>
  <c r="BG42" i="1"/>
  <c r="AB43" i="1"/>
  <c r="AT43" i="1"/>
  <c r="AU43" i="1"/>
  <c r="AV43" i="1"/>
  <c r="AX43" i="1"/>
  <c r="BB43" i="1"/>
  <c r="BC43" i="1"/>
  <c r="BE43" i="1"/>
  <c r="AU44" i="1"/>
  <c r="Z85" i="1"/>
  <c r="AB86" i="1"/>
  <c r="AB100" i="1"/>
  <c r="AB101" i="1"/>
  <c r="AB102" i="1"/>
  <c r="BG41" i="1" l="1"/>
  <c r="AW41" i="1"/>
  <c r="AD41" i="1"/>
  <c r="AN41" i="1" s="1"/>
  <c r="BD40" i="1"/>
  <c r="AW40" i="1"/>
  <c r="AD40" i="1"/>
  <c r="AE40" i="1" s="1"/>
  <c r="AC41" i="1"/>
  <c r="BG37" i="1"/>
  <c r="AY37" i="1"/>
  <c r="BD37" i="1"/>
  <c r="BF37" i="1" s="1"/>
  <c r="AC37" i="1"/>
  <c r="BD34" i="1"/>
  <c r="BG34" i="1"/>
  <c r="AW32" i="1"/>
  <c r="AC32" i="1"/>
  <c r="BD31" i="1"/>
  <c r="BG17" i="1"/>
  <c r="BG25" i="1"/>
  <c r="BB44" i="1"/>
  <c r="BD24" i="1"/>
  <c r="BD28" i="1"/>
  <c r="BF28" i="1" s="1"/>
  <c r="AW33" i="1"/>
  <c r="AC33" i="1"/>
  <c r="AY31" i="1"/>
  <c r="BG30" i="1"/>
  <c r="AY28" i="1"/>
  <c r="AW24" i="1"/>
  <c r="BD21" i="1"/>
  <c r="BF21" i="1" s="1"/>
  <c r="BD29" i="1"/>
  <c r="BF29" i="1" s="1"/>
  <c r="BG28" i="1"/>
  <c r="AW28" i="1"/>
  <c r="BF24" i="1"/>
  <c r="AY24" i="1"/>
  <c r="BG29" i="1"/>
  <c r="AH40" i="1"/>
  <c r="AN40" i="1"/>
  <c r="AR40" i="1" s="1"/>
  <c r="AK40" i="1"/>
  <c r="AY22" i="1"/>
  <c r="AC21" i="1"/>
  <c r="AC23" i="1"/>
  <c r="BG21" i="1"/>
  <c r="BD17" i="1"/>
  <c r="BF17" i="1" s="1"/>
  <c r="AT44" i="1"/>
  <c r="AZ18" i="1"/>
  <c r="AG8" i="1"/>
  <c r="AH8" i="1" s="1"/>
  <c r="AM8" i="1" s="1"/>
  <c r="BA39" i="1" s="1"/>
  <c r="AZ40" i="1"/>
  <c r="AZ22" i="1"/>
  <c r="AZ26" i="1"/>
  <c r="AZ23" i="1"/>
  <c r="AZ31" i="1"/>
  <c r="AZ34" i="1"/>
  <c r="AZ41" i="1"/>
  <c r="AZ42" i="1"/>
  <c r="AZ37" i="1"/>
  <c r="BG38" i="1"/>
  <c r="AW36" i="1"/>
  <c r="BF34" i="1"/>
  <c r="BF40" i="1"/>
  <c r="BD38" i="1"/>
  <c r="BF38" i="1" s="1"/>
  <c r="AY38" i="1"/>
  <c r="BA37" i="1"/>
  <c r="AW37" i="1"/>
  <c r="BD36" i="1"/>
  <c r="BF36" i="1" s="1"/>
  <c r="AZ36" i="1"/>
  <c r="AC36" i="1"/>
  <c r="BG33" i="1"/>
  <c r="AY33" i="1"/>
  <c r="BD32" i="1"/>
  <c r="BF32" i="1" s="1"/>
  <c r="AZ32" i="1"/>
  <c r="AQ45" i="1"/>
  <c r="BF31" i="1"/>
  <c r="BA31" i="1"/>
  <c r="AW31" i="1"/>
  <c r="AY25" i="1"/>
  <c r="BG20" i="1"/>
  <c r="AW20" i="1"/>
  <c r="AC20" i="1"/>
  <c r="AW19" i="1"/>
  <c r="BD18" i="1"/>
  <c r="BF18" i="1" s="1"/>
  <c r="AX44" i="1"/>
  <c r="BD25" i="1"/>
  <c r="BF25" i="1" s="1"/>
  <c r="AV44" i="1"/>
  <c r="AC19" i="1"/>
  <c r="BA20" i="1"/>
  <c r="BD42" i="1"/>
  <c r="BF42" i="1" s="1"/>
  <c r="AS40" i="1"/>
  <c r="BA36" i="1"/>
  <c r="BD33" i="1"/>
  <c r="BF33" i="1" s="1"/>
  <c r="BA32" i="1"/>
  <c r="BG31" i="1"/>
  <c r="AY29" i="1"/>
  <c r="BA28" i="1"/>
  <c r="BD26" i="1"/>
  <c r="BF26" i="1" s="1"/>
  <c r="BG24" i="1"/>
  <c r="AW23" i="1"/>
  <c r="BD22" i="1"/>
  <c r="BF22" i="1" s="1"/>
  <c r="BD20" i="1"/>
  <c r="BF20" i="1" s="1"/>
  <c r="BD19" i="1"/>
  <c r="BF19" i="1" s="1"/>
  <c r="AY17" i="1"/>
  <c r="AD43" i="1"/>
  <c r="AY43" i="1"/>
  <c r="BG43" i="1"/>
  <c r="AY39" i="1"/>
  <c r="BG39" i="1"/>
  <c r="BD43" i="1"/>
  <c r="BF43" i="1" s="1"/>
  <c r="AZ39" i="1"/>
  <c r="BD35" i="1"/>
  <c r="BF35" i="1" s="1"/>
  <c r="AZ35" i="1"/>
  <c r="AY27" i="1"/>
  <c r="BG27" i="1"/>
  <c r="AZ27" i="1"/>
  <c r="BD27" i="1"/>
  <c r="BF27" i="1" s="1"/>
  <c r="BA27" i="1"/>
  <c r="AC30" i="1"/>
  <c r="AZ30" i="1"/>
  <c r="BD30" i="1"/>
  <c r="BF30" i="1" s="1"/>
  <c r="AW30" i="1"/>
  <c r="BA30" i="1"/>
  <c r="AZ43" i="1"/>
  <c r="BD39" i="1"/>
  <c r="BF39" i="1" s="1"/>
  <c r="AW43" i="1"/>
  <c r="AC43" i="1"/>
  <c r="AC42" i="1"/>
  <c r="AW42" i="1"/>
  <c r="BA42" i="1"/>
  <c r="AD42" i="1"/>
  <c r="AS42" i="1" s="1"/>
  <c r="AW39" i="1"/>
  <c r="AC39" i="1"/>
  <c r="AC38" i="1"/>
  <c r="AW38" i="1"/>
  <c r="BA38" i="1"/>
  <c r="AW35" i="1"/>
  <c r="AC34" i="1"/>
  <c r="AW34" i="1"/>
  <c r="BA34" i="1"/>
  <c r="AC26" i="1"/>
  <c r="AW26" i="1"/>
  <c r="BA26" i="1"/>
  <c r="BG26" i="1"/>
  <c r="AB44" i="1"/>
  <c r="AY35" i="1"/>
  <c r="BG35" i="1"/>
  <c r="AC27" i="1"/>
  <c r="AR45" i="1"/>
  <c r="AY23" i="1"/>
  <c r="BG23" i="1"/>
  <c r="AC22" i="1"/>
  <c r="AW22" i="1"/>
  <c r="BA22" i="1"/>
  <c r="BG40" i="1"/>
  <c r="BG36" i="1"/>
  <c r="BG32" i="1"/>
  <c r="BF23" i="1"/>
  <c r="BA23" i="1"/>
  <c r="AM44" i="1"/>
  <c r="AC18" i="1"/>
  <c r="AW18" i="1"/>
  <c r="BA18" i="1"/>
  <c r="AY18" i="1"/>
  <c r="BG18" i="1"/>
  <c r="AZ17" i="1"/>
  <c r="AZ21" i="1"/>
  <c r="AZ25" i="1"/>
  <c r="AZ29" i="1"/>
  <c r="AZ20" i="1"/>
  <c r="AZ24" i="1"/>
  <c r="AZ28" i="1"/>
  <c r="AZ19" i="1"/>
  <c r="BA29" i="1"/>
  <c r="AW29" i="1"/>
  <c r="BA25" i="1"/>
  <c r="AW25" i="1"/>
  <c r="BA21" i="1"/>
  <c r="AW21" i="1"/>
  <c r="BG19" i="1"/>
  <c r="AY19" i="1"/>
  <c r="BA17" i="1"/>
  <c r="AW17" i="1"/>
  <c r="E2" i="5"/>
  <c r="C2" i="5"/>
  <c r="AC30" i="6"/>
  <c r="AB30" i="6"/>
  <c r="AC29" i="6"/>
  <c r="AB29" i="6"/>
  <c r="AC28" i="6"/>
  <c r="AB28" i="6"/>
  <c r="AC27" i="6"/>
  <c r="AB27" i="6"/>
  <c r="AC26" i="6"/>
  <c r="AB26" i="6"/>
  <c r="AC25" i="6"/>
  <c r="AB25" i="6"/>
  <c r="AC24" i="6"/>
  <c r="AB24" i="6"/>
  <c r="AC23" i="6"/>
  <c r="AB23" i="6"/>
  <c r="AC22" i="6"/>
  <c r="AB22" i="6"/>
  <c r="AC21" i="6"/>
  <c r="AB21" i="6"/>
  <c r="AC20" i="6"/>
  <c r="AB20" i="6"/>
  <c r="AC19" i="6"/>
  <c r="AB19" i="6"/>
  <c r="AC18" i="6"/>
  <c r="AB18" i="6"/>
  <c r="AC17" i="6"/>
  <c r="AB17" i="6"/>
  <c r="AC16" i="6"/>
  <c r="AB16" i="6"/>
  <c r="AC15" i="6"/>
  <c r="AB15" i="6"/>
  <c r="AC14" i="6"/>
  <c r="AB14" i="6"/>
  <c r="AC13" i="6"/>
  <c r="AB13" i="6"/>
  <c r="AC12" i="6"/>
  <c r="AB12" i="6"/>
  <c r="AC11" i="6"/>
  <c r="AB11" i="6"/>
  <c r="AC10" i="6"/>
  <c r="AB10" i="6"/>
  <c r="AC9" i="6"/>
  <c r="AB9" i="6"/>
  <c r="AC8" i="6"/>
  <c r="AB8" i="6"/>
  <c r="AC7" i="6"/>
  <c r="AB7" i="6"/>
  <c r="AC6" i="6"/>
  <c r="AB6" i="6"/>
  <c r="AC5" i="6"/>
  <c r="AB5" i="6"/>
  <c r="AC4" i="6"/>
  <c r="AB4" i="6"/>
  <c r="AK41" i="1" l="1"/>
  <c r="AS41" i="1"/>
  <c r="AH41" i="1"/>
  <c r="AR41" i="1"/>
  <c r="AE41" i="1"/>
  <c r="AS43" i="1"/>
  <c r="AN43" i="1"/>
  <c r="AR43" i="1" s="1"/>
  <c r="AK43" i="1"/>
  <c r="AN42" i="1"/>
  <c r="AR42" i="1" s="1"/>
  <c r="BH42" i="1" s="1"/>
  <c r="AK42" i="1"/>
  <c r="BA19" i="1"/>
  <c r="BA43" i="1"/>
  <c r="BA33" i="1"/>
  <c r="BA35" i="1"/>
  <c r="BA24" i="1"/>
  <c r="BA41" i="1"/>
  <c r="BH41" i="1" s="1"/>
  <c r="BA40" i="1"/>
  <c r="BH40" i="1" s="1"/>
  <c r="Z41" i="1"/>
  <c r="Z40" i="1"/>
  <c r="AW44" i="1"/>
  <c r="BF44" i="1"/>
  <c r="AZ45" i="1"/>
  <c r="AC44" i="1"/>
  <c r="BG44" i="1"/>
  <c r="AH42" i="1"/>
  <c r="AE42" i="1"/>
  <c r="AY44" i="1"/>
  <c r="AH43" i="1"/>
  <c r="AE43" i="1"/>
  <c r="Z15" i="10"/>
  <c r="N16" i="10"/>
  <c r="O16" i="10"/>
  <c r="P16" i="10"/>
  <c r="Q16" i="10"/>
  <c r="R16" i="10"/>
  <c r="S16" i="10"/>
  <c r="T16" i="10"/>
  <c r="W16" i="10"/>
  <c r="Y16" i="10"/>
  <c r="Z16" i="10"/>
  <c r="BH43" i="1" l="1"/>
  <c r="Z42" i="1"/>
  <c r="BA45" i="1"/>
  <c r="Z43" i="1"/>
  <c r="Y89" i="10" l="1"/>
  <c r="Y90" i="10"/>
  <c r="Y91" i="10"/>
  <c r="Y92" i="10"/>
  <c r="Y93" i="10"/>
  <c r="Y94" i="10"/>
  <c r="Y95" i="10"/>
  <c r="Y96" i="10"/>
  <c r="Y97" i="10"/>
  <c r="Y98" i="10"/>
  <c r="Y99" i="10"/>
  <c r="Y100" i="10"/>
  <c r="Y101" i="10"/>
  <c r="Y102" i="10"/>
  <c r="Y103" i="10"/>
  <c r="Y104" i="10"/>
  <c r="Y105" i="10"/>
  <c r="Y106" i="10"/>
  <c r="Y107" i="10"/>
  <c r="Y108" i="10"/>
  <c r="Y109" i="10"/>
  <c r="Y110" i="10"/>
  <c r="Y111" i="10"/>
  <c r="Y112" i="10"/>
  <c r="Y113" i="10"/>
  <c r="Y114" i="10"/>
  <c r="Y88" i="10"/>
  <c r="N89" i="10"/>
  <c r="O89" i="10"/>
  <c r="P89" i="10"/>
  <c r="Q89" i="10"/>
  <c r="R89" i="10"/>
  <c r="S89" i="10"/>
  <c r="T89" i="10"/>
  <c r="U89" i="10"/>
  <c r="V89" i="10"/>
  <c r="W89" i="10"/>
  <c r="X89" i="10"/>
  <c r="Z89" i="10"/>
  <c r="AA89" i="10"/>
  <c r="N90" i="10"/>
  <c r="O90" i="10"/>
  <c r="P90" i="10"/>
  <c r="Q90" i="10"/>
  <c r="R90" i="10"/>
  <c r="S90" i="10"/>
  <c r="T90" i="10"/>
  <c r="U90" i="10"/>
  <c r="V90" i="10"/>
  <c r="W90" i="10"/>
  <c r="X90" i="10"/>
  <c r="Z90" i="10"/>
  <c r="AA90" i="10"/>
  <c r="N91" i="10"/>
  <c r="O91" i="10"/>
  <c r="P91" i="10"/>
  <c r="Q91" i="10"/>
  <c r="R91" i="10"/>
  <c r="S91" i="10"/>
  <c r="T91" i="10"/>
  <c r="U91" i="10"/>
  <c r="V91" i="10"/>
  <c r="W91" i="10"/>
  <c r="X91" i="10"/>
  <c r="Z91" i="10"/>
  <c r="AA91" i="10"/>
  <c r="N92" i="10"/>
  <c r="O92" i="10"/>
  <c r="P92" i="10"/>
  <c r="Q92" i="10"/>
  <c r="R92" i="10"/>
  <c r="S92" i="10"/>
  <c r="T92" i="10"/>
  <c r="U92" i="10"/>
  <c r="V92" i="10"/>
  <c r="W92" i="10"/>
  <c r="X92" i="10"/>
  <c r="Z92" i="10"/>
  <c r="AA92" i="10"/>
  <c r="N93" i="10"/>
  <c r="O93" i="10"/>
  <c r="P93" i="10"/>
  <c r="Q93" i="10"/>
  <c r="R93" i="10"/>
  <c r="S93" i="10"/>
  <c r="T93" i="10"/>
  <c r="U93" i="10"/>
  <c r="V93" i="10"/>
  <c r="W93" i="10"/>
  <c r="X93" i="10"/>
  <c r="Z93" i="10"/>
  <c r="AA93" i="10"/>
  <c r="N94" i="10"/>
  <c r="O94" i="10"/>
  <c r="P94" i="10"/>
  <c r="Q94" i="10"/>
  <c r="R94" i="10"/>
  <c r="S94" i="10"/>
  <c r="T94" i="10"/>
  <c r="U94" i="10"/>
  <c r="V94" i="10"/>
  <c r="W94" i="10"/>
  <c r="X94" i="10"/>
  <c r="Z94" i="10"/>
  <c r="AA94" i="10"/>
  <c r="N95" i="10"/>
  <c r="O95" i="10"/>
  <c r="P95" i="10"/>
  <c r="Q95" i="10"/>
  <c r="R95" i="10"/>
  <c r="S95" i="10"/>
  <c r="T95" i="10"/>
  <c r="U95" i="10"/>
  <c r="V95" i="10"/>
  <c r="W95" i="10"/>
  <c r="X95" i="10"/>
  <c r="Z95" i="10"/>
  <c r="AA95" i="10"/>
  <c r="N96" i="10"/>
  <c r="O96" i="10"/>
  <c r="P96" i="10"/>
  <c r="Q96" i="10"/>
  <c r="R96" i="10"/>
  <c r="S96" i="10"/>
  <c r="T96" i="10"/>
  <c r="U96" i="10"/>
  <c r="V96" i="10"/>
  <c r="W96" i="10"/>
  <c r="X96" i="10"/>
  <c r="Z96" i="10"/>
  <c r="AA96" i="10"/>
  <c r="N97" i="10"/>
  <c r="O97" i="10"/>
  <c r="P97" i="10"/>
  <c r="Q97" i="10"/>
  <c r="R97" i="10"/>
  <c r="S97" i="10"/>
  <c r="T97" i="10"/>
  <c r="U97" i="10"/>
  <c r="V97" i="10"/>
  <c r="W97" i="10"/>
  <c r="X97" i="10"/>
  <c r="Z97" i="10"/>
  <c r="AA97" i="10"/>
  <c r="N98" i="10"/>
  <c r="O98" i="10"/>
  <c r="P98" i="10"/>
  <c r="Q98" i="10"/>
  <c r="R98" i="10"/>
  <c r="S98" i="10"/>
  <c r="T98" i="10"/>
  <c r="U98" i="10"/>
  <c r="V98" i="10"/>
  <c r="W98" i="10"/>
  <c r="X98" i="10"/>
  <c r="Z98" i="10"/>
  <c r="AA98" i="10"/>
  <c r="N99" i="10"/>
  <c r="O99" i="10"/>
  <c r="P99" i="10"/>
  <c r="Q99" i="10"/>
  <c r="R99" i="10"/>
  <c r="S99" i="10"/>
  <c r="T99" i="10"/>
  <c r="U99" i="10"/>
  <c r="V99" i="10"/>
  <c r="W99" i="10"/>
  <c r="X99" i="10"/>
  <c r="Z99" i="10"/>
  <c r="AA99" i="10"/>
  <c r="N100" i="10"/>
  <c r="O100" i="10"/>
  <c r="P100" i="10"/>
  <c r="Q100" i="10"/>
  <c r="R100" i="10"/>
  <c r="S100" i="10"/>
  <c r="T100" i="10"/>
  <c r="U100" i="10"/>
  <c r="V100" i="10"/>
  <c r="W100" i="10"/>
  <c r="X100" i="10"/>
  <c r="Z100" i="10"/>
  <c r="AA100" i="10"/>
  <c r="N101" i="10"/>
  <c r="O101" i="10"/>
  <c r="P101" i="10"/>
  <c r="Q101" i="10"/>
  <c r="R101" i="10"/>
  <c r="S101" i="10"/>
  <c r="T101" i="10"/>
  <c r="U101" i="10"/>
  <c r="V101" i="10"/>
  <c r="W101" i="10"/>
  <c r="X101" i="10"/>
  <c r="Z101" i="10"/>
  <c r="AA101" i="10"/>
  <c r="N102" i="10"/>
  <c r="O102" i="10"/>
  <c r="P102" i="10"/>
  <c r="Q102" i="10"/>
  <c r="R102" i="10"/>
  <c r="S102" i="10"/>
  <c r="T102" i="10"/>
  <c r="U102" i="10"/>
  <c r="V102" i="10"/>
  <c r="W102" i="10"/>
  <c r="X102" i="10"/>
  <c r="Z102" i="10"/>
  <c r="AA102" i="10"/>
  <c r="N103" i="10"/>
  <c r="O103" i="10"/>
  <c r="P103" i="10"/>
  <c r="Q103" i="10"/>
  <c r="R103" i="10"/>
  <c r="S103" i="10"/>
  <c r="T103" i="10"/>
  <c r="U103" i="10"/>
  <c r="V103" i="10"/>
  <c r="W103" i="10"/>
  <c r="X103" i="10"/>
  <c r="Z103" i="10"/>
  <c r="AA103" i="10"/>
  <c r="N104" i="10"/>
  <c r="O104" i="10"/>
  <c r="P104" i="10"/>
  <c r="Q104" i="10"/>
  <c r="R104" i="10"/>
  <c r="S104" i="10"/>
  <c r="T104" i="10"/>
  <c r="U104" i="10"/>
  <c r="V104" i="10"/>
  <c r="W104" i="10"/>
  <c r="X104" i="10"/>
  <c r="Z104" i="10"/>
  <c r="AA104" i="10"/>
  <c r="N105" i="10"/>
  <c r="O105" i="10"/>
  <c r="P105" i="10"/>
  <c r="Q105" i="10"/>
  <c r="R105" i="10"/>
  <c r="S105" i="10"/>
  <c r="T105" i="10"/>
  <c r="U105" i="10"/>
  <c r="V105" i="10"/>
  <c r="W105" i="10"/>
  <c r="X105" i="10"/>
  <c r="Z105" i="10"/>
  <c r="AA105" i="10"/>
  <c r="N106" i="10"/>
  <c r="O106" i="10"/>
  <c r="P106" i="10"/>
  <c r="Q106" i="10"/>
  <c r="R106" i="10"/>
  <c r="S106" i="10"/>
  <c r="T106" i="10"/>
  <c r="U106" i="10"/>
  <c r="V106" i="10"/>
  <c r="W106" i="10"/>
  <c r="X106" i="10"/>
  <c r="Z106" i="10"/>
  <c r="AA106" i="10"/>
  <c r="N107" i="10"/>
  <c r="O107" i="10"/>
  <c r="P107" i="10"/>
  <c r="Q107" i="10"/>
  <c r="R107" i="10"/>
  <c r="S107" i="10"/>
  <c r="T107" i="10"/>
  <c r="U107" i="10"/>
  <c r="V107" i="10"/>
  <c r="W107" i="10"/>
  <c r="X107" i="10"/>
  <c r="Z107" i="10"/>
  <c r="AA107" i="10"/>
  <c r="N108" i="10"/>
  <c r="O108" i="10"/>
  <c r="P108" i="10"/>
  <c r="Q108" i="10"/>
  <c r="R108" i="10"/>
  <c r="S108" i="10"/>
  <c r="T108" i="10"/>
  <c r="U108" i="10"/>
  <c r="V108" i="10"/>
  <c r="W108" i="10"/>
  <c r="X108" i="10"/>
  <c r="Z108" i="10"/>
  <c r="AA108" i="10"/>
  <c r="N109" i="10"/>
  <c r="O109" i="10"/>
  <c r="P109" i="10"/>
  <c r="Q109" i="10"/>
  <c r="R109" i="10"/>
  <c r="S109" i="10"/>
  <c r="T109" i="10"/>
  <c r="U109" i="10"/>
  <c r="V109" i="10"/>
  <c r="W109" i="10"/>
  <c r="X109" i="10"/>
  <c r="Z109" i="10"/>
  <c r="AA109" i="10"/>
  <c r="N110" i="10"/>
  <c r="O110" i="10"/>
  <c r="P110" i="10"/>
  <c r="Q110" i="10"/>
  <c r="R110" i="10"/>
  <c r="S110" i="10"/>
  <c r="T110" i="10"/>
  <c r="U110" i="10"/>
  <c r="V110" i="10"/>
  <c r="W110" i="10"/>
  <c r="X110" i="10"/>
  <c r="Z110" i="10"/>
  <c r="AA110" i="10"/>
  <c r="N111" i="10"/>
  <c r="O111" i="10"/>
  <c r="P111" i="10"/>
  <c r="Q111" i="10"/>
  <c r="R111" i="10"/>
  <c r="S111" i="10"/>
  <c r="T111" i="10"/>
  <c r="U111" i="10"/>
  <c r="V111" i="10"/>
  <c r="W111" i="10"/>
  <c r="X111" i="10"/>
  <c r="Z111" i="10"/>
  <c r="AA111" i="10"/>
  <c r="N112" i="10"/>
  <c r="O112" i="10"/>
  <c r="P112" i="10"/>
  <c r="Q112" i="10"/>
  <c r="R112" i="10"/>
  <c r="S112" i="10"/>
  <c r="T112" i="10"/>
  <c r="U112" i="10"/>
  <c r="V112" i="10"/>
  <c r="W112" i="10"/>
  <c r="X112" i="10"/>
  <c r="Z112" i="10"/>
  <c r="AA112" i="10"/>
  <c r="N113" i="10"/>
  <c r="O113" i="10"/>
  <c r="P113" i="10"/>
  <c r="Q113" i="10"/>
  <c r="R113" i="10"/>
  <c r="S113" i="10"/>
  <c r="T113" i="10"/>
  <c r="U113" i="10"/>
  <c r="V113" i="10"/>
  <c r="W113" i="10"/>
  <c r="X113" i="10"/>
  <c r="Z113" i="10"/>
  <c r="AA113" i="10"/>
  <c r="N114" i="10"/>
  <c r="O114" i="10"/>
  <c r="P114" i="10"/>
  <c r="Q114" i="10"/>
  <c r="R114" i="10"/>
  <c r="S114" i="10"/>
  <c r="T114" i="10"/>
  <c r="U114" i="10"/>
  <c r="V114" i="10"/>
  <c r="W114" i="10"/>
  <c r="X114" i="10"/>
  <c r="Z114" i="10"/>
  <c r="AA114" i="10"/>
  <c r="AA88" i="10"/>
  <c r="Z88" i="10"/>
  <c r="X88" i="10"/>
  <c r="W88" i="10"/>
  <c r="N88" i="10"/>
  <c r="C28" i="3" l="1"/>
  <c r="W10" i="10" l="1"/>
  <c r="J2" i="2" l="1"/>
  <c r="N34" i="6" l="1"/>
  <c r="M34" i="6"/>
  <c r="U35" i="6"/>
  <c r="V35" i="6"/>
  <c r="W35" i="6"/>
  <c r="X35" i="6"/>
  <c r="Y35" i="6"/>
  <c r="AA35" i="6"/>
  <c r="AB35" i="6"/>
  <c r="AC35" i="6"/>
  <c r="AD35" i="6"/>
  <c r="AE35" i="6"/>
  <c r="AF35" i="6"/>
  <c r="AG35" i="6"/>
  <c r="AH35" i="6"/>
  <c r="AI35" i="6"/>
  <c r="AJ35" i="6"/>
  <c r="AK35" i="6"/>
  <c r="AL35" i="6"/>
  <c r="AM35" i="6"/>
  <c r="AN35" i="6"/>
  <c r="AO35" i="6"/>
  <c r="AP35" i="6"/>
  <c r="U36" i="6"/>
  <c r="V36" i="6"/>
  <c r="W36" i="6"/>
  <c r="X36" i="6"/>
  <c r="Y36" i="6"/>
  <c r="AA36" i="6"/>
  <c r="AB36" i="6"/>
  <c r="AC36" i="6"/>
  <c r="AD36" i="6"/>
  <c r="AE36" i="6"/>
  <c r="AF36" i="6"/>
  <c r="AG36" i="6"/>
  <c r="AH36" i="6"/>
  <c r="AI36" i="6"/>
  <c r="AJ36" i="6"/>
  <c r="AK36" i="6"/>
  <c r="AL36" i="6"/>
  <c r="AM36" i="6"/>
  <c r="AN36" i="6"/>
  <c r="AO36" i="6"/>
  <c r="AP36" i="6"/>
  <c r="AQ36" i="6"/>
  <c r="U37" i="6"/>
  <c r="V37" i="6"/>
  <c r="W37" i="6"/>
  <c r="X37" i="6"/>
  <c r="Y37" i="6"/>
  <c r="AA37" i="6"/>
  <c r="AB37" i="6"/>
  <c r="AC37" i="6"/>
  <c r="AD37" i="6"/>
  <c r="AE37" i="6"/>
  <c r="AF37" i="6"/>
  <c r="AG37" i="6"/>
  <c r="AH37" i="6"/>
  <c r="AI37" i="6"/>
  <c r="AJ37" i="6"/>
  <c r="AK37" i="6"/>
  <c r="AL37" i="6"/>
  <c r="AM37" i="6"/>
  <c r="AN37" i="6"/>
  <c r="AO37" i="6"/>
  <c r="AP37" i="6"/>
  <c r="AQ37" i="6"/>
  <c r="U38" i="6"/>
  <c r="V38" i="6"/>
  <c r="W38" i="6"/>
  <c r="X38" i="6"/>
  <c r="Y38" i="6"/>
  <c r="AA38" i="6"/>
  <c r="AB38" i="6"/>
  <c r="AC38" i="6"/>
  <c r="AD38" i="6"/>
  <c r="AE38" i="6"/>
  <c r="AF38" i="6"/>
  <c r="AG38" i="6"/>
  <c r="AH38" i="6"/>
  <c r="AI38" i="6"/>
  <c r="AJ38" i="6"/>
  <c r="AK38" i="6"/>
  <c r="AL38" i="6"/>
  <c r="AM38" i="6"/>
  <c r="AN38" i="6"/>
  <c r="AO38" i="6"/>
  <c r="AP38" i="6"/>
  <c r="AQ38" i="6"/>
  <c r="U39" i="6"/>
  <c r="V39" i="6"/>
  <c r="W39" i="6"/>
  <c r="X39" i="6"/>
  <c r="Y39" i="6"/>
  <c r="AA39" i="6"/>
  <c r="AB39" i="6"/>
  <c r="AC39" i="6"/>
  <c r="AD39" i="6"/>
  <c r="AE39" i="6"/>
  <c r="AF39" i="6"/>
  <c r="AG39" i="6"/>
  <c r="AH39" i="6"/>
  <c r="AI39" i="6"/>
  <c r="AJ39" i="6"/>
  <c r="AK39" i="6"/>
  <c r="AL39" i="6"/>
  <c r="AM39" i="6"/>
  <c r="AN39" i="6"/>
  <c r="AO39" i="6"/>
  <c r="AP39" i="6"/>
  <c r="AQ39" i="6"/>
  <c r="U40" i="6"/>
  <c r="V40" i="6"/>
  <c r="W40" i="6"/>
  <c r="X40" i="6"/>
  <c r="Y40" i="6"/>
  <c r="AA40" i="6"/>
  <c r="AB40" i="6"/>
  <c r="AC40" i="6"/>
  <c r="AD40" i="6"/>
  <c r="AE40" i="6"/>
  <c r="AF40" i="6"/>
  <c r="AG40" i="6"/>
  <c r="AH40" i="6"/>
  <c r="AI40" i="6"/>
  <c r="AJ40" i="6"/>
  <c r="AK40" i="6"/>
  <c r="AL40" i="6"/>
  <c r="AM40" i="6"/>
  <c r="AN40" i="6"/>
  <c r="AO40" i="6"/>
  <c r="AP40" i="6"/>
  <c r="AQ40" i="6"/>
  <c r="U41" i="6"/>
  <c r="V41" i="6"/>
  <c r="W41" i="6"/>
  <c r="X41" i="6"/>
  <c r="Y41" i="6"/>
  <c r="AA41" i="6"/>
  <c r="AB41" i="6"/>
  <c r="AC41" i="6"/>
  <c r="AD41" i="6"/>
  <c r="AE41" i="6"/>
  <c r="AF41" i="6"/>
  <c r="AG41" i="6"/>
  <c r="AH41" i="6"/>
  <c r="AI41" i="6"/>
  <c r="AJ41" i="6"/>
  <c r="AK41" i="6"/>
  <c r="AL41" i="6"/>
  <c r="AM41" i="6"/>
  <c r="AN41" i="6"/>
  <c r="AO41" i="6"/>
  <c r="AP41" i="6"/>
  <c r="AQ41" i="6"/>
  <c r="U42" i="6"/>
  <c r="V42" i="6"/>
  <c r="W42" i="6"/>
  <c r="X42" i="6"/>
  <c r="Y42" i="6"/>
  <c r="AA42" i="6"/>
  <c r="AB42" i="6"/>
  <c r="AC42" i="6"/>
  <c r="AD42" i="6"/>
  <c r="AE42" i="6"/>
  <c r="AF42" i="6"/>
  <c r="AG42" i="6"/>
  <c r="AH42" i="6"/>
  <c r="AI42" i="6"/>
  <c r="AJ42" i="6"/>
  <c r="AK42" i="6"/>
  <c r="AL42" i="6"/>
  <c r="AM42" i="6"/>
  <c r="AN42" i="6"/>
  <c r="AO42" i="6"/>
  <c r="AP42" i="6"/>
  <c r="AQ42" i="6"/>
  <c r="U43" i="6"/>
  <c r="V43" i="6"/>
  <c r="W43" i="6"/>
  <c r="X43" i="6"/>
  <c r="Y43" i="6"/>
  <c r="AA43" i="6"/>
  <c r="AB43" i="6"/>
  <c r="AC43" i="6"/>
  <c r="AD43" i="6"/>
  <c r="AE43" i="6"/>
  <c r="AF43" i="6"/>
  <c r="AG43" i="6"/>
  <c r="AH43" i="6"/>
  <c r="AI43" i="6"/>
  <c r="AJ43" i="6"/>
  <c r="AK43" i="6"/>
  <c r="AL43" i="6"/>
  <c r="AM43" i="6"/>
  <c r="AN43" i="6"/>
  <c r="AO43" i="6"/>
  <c r="AP43" i="6"/>
  <c r="AQ43" i="6"/>
  <c r="U44" i="6"/>
  <c r="V44" i="6"/>
  <c r="W44" i="6"/>
  <c r="X44" i="6"/>
  <c r="Y44" i="6"/>
  <c r="AA44" i="6"/>
  <c r="AB44" i="6"/>
  <c r="AC44" i="6"/>
  <c r="AD44" i="6"/>
  <c r="AE44" i="6"/>
  <c r="AF44" i="6"/>
  <c r="AG44" i="6"/>
  <c r="AH44" i="6"/>
  <c r="AI44" i="6"/>
  <c r="AJ44" i="6"/>
  <c r="AK44" i="6"/>
  <c r="AL44" i="6"/>
  <c r="AM44" i="6"/>
  <c r="AN44" i="6"/>
  <c r="AO44" i="6"/>
  <c r="AP44" i="6"/>
  <c r="AQ44" i="6"/>
  <c r="U45" i="6"/>
  <c r="V45" i="6"/>
  <c r="W45" i="6"/>
  <c r="X45" i="6"/>
  <c r="Y45" i="6"/>
  <c r="AA45" i="6"/>
  <c r="AB45" i="6"/>
  <c r="AC45" i="6"/>
  <c r="AD45" i="6"/>
  <c r="AE45" i="6"/>
  <c r="AF45" i="6"/>
  <c r="AG45" i="6"/>
  <c r="AH45" i="6"/>
  <c r="AI45" i="6"/>
  <c r="AJ45" i="6"/>
  <c r="AK45" i="6"/>
  <c r="AL45" i="6"/>
  <c r="AM45" i="6"/>
  <c r="AN45" i="6"/>
  <c r="AO45" i="6"/>
  <c r="AP45" i="6"/>
  <c r="AQ45" i="6"/>
  <c r="U46" i="6"/>
  <c r="V46" i="6"/>
  <c r="W46" i="6"/>
  <c r="X46" i="6"/>
  <c r="Y46" i="6"/>
  <c r="AA46" i="6"/>
  <c r="AB46" i="6"/>
  <c r="AC46" i="6"/>
  <c r="AD46" i="6"/>
  <c r="AE46" i="6"/>
  <c r="AF46" i="6"/>
  <c r="AG46" i="6"/>
  <c r="AH46" i="6"/>
  <c r="AI46" i="6"/>
  <c r="AJ46" i="6"/>
  <c r="AK46" i="6"/>
  <c r="AL46" i="6"/>
  <c r="AM46" i="6"/>
  <c r="AN46" i="6"/>
  <c r="AO46" i="6"/>
  <c r="AP46" i="6"/>
  <c r="AQ46" i="6"/>
  <c r="U47" i="6"/>
  <c r="V47" i="6"/>
  <c r="W47" i="6"/>
  <c r="X47" i="6"/>
  <c r="Y47" i="6"/>
  <c r="AA47" i="6"/>
  <c r="AB47" i="6"/>
  <c r="AC47" i="6"/>
  <c r="AD47" i="6"/>
  <c r="AE47" i="6"/>
  <c r="AF47" i="6"/>
  <c r="AG47" i="6"/>
  <c r="AH47" i="6"/>
  <c r="AI47" i="6"/>
  <c r="AJ47" i="6"/>
  <c r="AK47" i="6"/>
  <c r="AL47" i="6"/>
  <c r="AM47" i="6"/>
  <c r="AN47" i="6"/>
  <c r="AO47" i="6"/>
  <c r="AP47" i="6"/>
  <c r="AQ47" i="6"/>
  <c r="U48" i="6"/>
  <c r="V48" i="6"/>
  <c r="W48" i="6"/>
  <c r="X48" i="6"/>
  <c r="Y48" i="6"/>
  <c r="AA48" i="6"/>
  <c r="AB48" i="6"/>
  <c r="AC48" i="6"/>
  <c r="AD48" i="6"/>
  <c r="AE48" i="6"/>
  <c r="AF48" i="6"/>
  <c r="AG48" i="6"/>
  <c r="AH48" i="6"/>
  <c r="AI48" i="6"/>
  <c r="AJ48" i="6"/>
  <c r="AK48" i="6"/>
  <c r="AL48" i="6"/>
  <c r="AM48" i="6"/>
  <c r="AN48" i="6"/>
  <c r="AO48" i="6"/>
  <c r="AP48" i="6"/>
  <c r="AQ48" i="6"/>
  <c r="U49" i="6"/>
  <c r="V49" i="6"/>
  <c r="W49" i="6"/>
  <c r="X49" i="6"/>
  <c r="Y49" i="6"/>
  <c r="AA49" i="6"/>
  <c r="AB49" i="6"/>
  <c r="AC49" i="6"/>
  <c r="AD49" i="6"/>
  <c r="AE49" i="6"/>
  <c r="AF49" i="6"/>
  <c r="AG49" i="6"/>
  <c r="AH49" i="6"/>
  <c r="AI49" i="6"/>
  <c r="AJ49" i="6"/>
  <c r="AK49" i="6"/>
  <c r="AL49" i="6"/>
  <c r="AM49" i="6"/>
  <c r="AN49" i="6"/>
  <c r="AO49" i="6"/>
  <c r="AP49" i="6"/>
  <c r="AQ49" i="6"/>
  <c r="U50" i="6"/>
  <c r="V50" i="6"/>
  <c r="W50" i="6"/>
  <c r="X50" i="6"/>
  <c r="Y50" i="6"/>
  <c r="AA50" i="6"/>
  <c r="AB50" i="6"/>
  <c r="AC50" i="6"/>
  <c r="AD50" i="6"/>
  <c r="AE50" i="6"/>
  <c r="AF50" i="6"/>
  <c r="AG50" i="6"/>
  <c r="AH50" i="6"/>
  <c r="AI50" i="6"/>
  <c r="AJ50" i="6"/>
  <c r="AK50" i="6"/>
  <c r="AL50" i="6"/>
  <c r="AM50" i="6"/>
  <c r="AN50" i="6"/>
  <c r="AO50" i="6"/>
  <c r="AP50" i="6"/>
  <c r="AQ50" i="6"/>
  <c r="U51" i="6"/>
  <c r="V51" i="6"/>
  <c r="W51" i="6"/>
  <c r="X51" i="6"/>
  <c r="Y51" i="6"/>
  <c r="AA51" i="6"/>
  <c r="AB51" i="6"/>
  <c r="AC51" i="6"/>
  <c r="AD51" i="6"/>
  <c r="AE51" i="6"/>
  <c r="AF51" i="6"/>
  <c r="AG51" i="6"/>
  <c r="AH51" i="6"/>
  <c r="AI51" i="6"/>
  <c r="AJ51" i="6"/>
  <c r="AK51" i="6"/>
  <c r="AL51" i="6"/>
  <c r="AM51" i="6"/>
  <c r="AN51" i="6"/>
  <c r="AO51" i="6"/>
  <c r="AP51" i="6"/>
  <c r="AQ51" i="6"/>
  <c r="U52" i="6"/>
  <c r="V52" i="6"/>
  <c r="W52" i="6"/>
  <c r="X52" i="6"/>
  <c r="Y52" i="6"/>
  <c r="AA52" i="6"/>
  <c r="AB52" i="6"/>
  <c r="AC52" i="6"/>
  <c r="AD52" i="6"/>
  <c r="AE52" i="6"/>
  <c r="AF52" i="6"/>
  <c r="AG52" i="6"/>
  <c r="AH52" i="6"/>
  <c r="AI52" i="6"/>
  <c r="AJ52" i="6"/>
  <c r="AK52" i="6"/>
  <c r="AL52" i="6"/>
  <c r="AM52" i="6"/>
  <c r="AN52" i="6"/>
  <c r="AO52" i="6"/>
  <c r="AP52" i="6"/>
  <c r="AQ52" i="6"/>
  <c r="U53" i="6"/>
  <c r="V53" i="6"/>
  <c r="W53" i="6"/>
  <c r="X53" i="6"/>
  <c r="Y53" i="6"/>
  <c r="AA53" i="6"/>
  <c r="AB53" i="6"/>
  <c r="AC53" i="6"/>
  <c r="AD53" i="6"/>
  <c r="AE53" i="6"/>
  <c r="AF53" i="6"/>
  <c r="AG53" i="6"/>
  <c r="AH53" i="6"/>
  <c r="AI53" i="6"/>
  <c r="AJ53" i="6"/>
  <c r="AK53" i="6"/>
  <c r="AL53" i="6"/>
  <c r="AM53" i="6"/>
  <c r="AN53" i="6"/>
  <c r="AO53" i="6"/>
  <c r="AP53" i="6"/>
  <c r="AQ53" i="6"/>
  <c r="U54" i="6"/>
  <c r="V54" i="6"/>
  <c r="W54" i="6"/>
  <c r="X54" i="6"/>
  <c r="Y54" i="6"/>
  <c r="AA54" i="6"/>
  <c r="AB54" i="6"/>
  <c r="AC54" i="6"/>
  <c r="AD54" i="6"/>
  <c r="AE54" i="6"/>
  <c r="AF54" i="6"/>
  <c r="AG54" i="6"/>
  <c r="AH54" i="6"/>
  <c r="AI54" i="6"/>
  <c r="AJ54" i="6"/>
  <c r="AK54" i="6"/>
  <c r="AL54" i="6"/>
  <c r="AM54" i="6"/>
  <c r="AN54" i="6"/>
  <c r="AO54" i="6"/>
  <c r="AP54" i="6"/>
  <c r="AQ54" i="6"/>
  <c r="U55" i="6"/>
  <c r="V55" i="6"/>
  <c r="W55" i="6"/>
  <c r="X55" i="6"/>
  <c r="Y55" i="6"/>
  <c r="AA55" i="6"/>
  <c r="AB55" i="6"/>
  <c r="AC55" i="6"/>
  <c r="AD55" i="6"/>
  <c r="AE55" i="6"/>
  <c r="AF55" i="6"/>
  <c r="AG55" i="6"/>
  <c r="AH55" i="6"/>
  <c r="AI55" i="6"/>
  <c r="AJ55" i="6"/>
  <c r="AK55" i="6"/>
  <c r="AL55" i="6"/>
  <c r="AM55" i="6"/>
  <c r="AN55" i="6"/>
  <c r="AO55" i="6"/>
  <c r="AP55" i="6"/>
  <c r="AQ55" i="6"/>
  <c r="U56" i="6"/>
  <c r="V56" i="6"/>
  <c r="W56" i="6"/>
  <c r="X56" i="6"/>
  <c r="Y56" i="6"/>
  <c r="AA56" i="6"/>
  <c r="AB56" i="6"/>
  <c r="AC56" i="6"/>
  <c r="AD56" i="6"/>
  <c r="AE56" i="6"/>
  <c r="AF56" i="6"/>
  <c r="AG56" i="6"/>
  <c r="AH56" i="6"/>
  <c r="AI56" i="6"/>
  <c r="AJ56" i="6"/>
  <c r="AK56" i="6"/>
  <c r="AL56" i="6"/>
  <c r="AM56" i="6"/>
  <c r="AN56" i="6"/>
  <c r="AO56" i="6"/>
  <c r="AP56" i="6"/>
  <c r="AQ56" i="6"/>
  <c r="U57" i="6"/>
  <c r="V57" i="6"/>
  <c r="W57" i="6"/>
  <c r="X57" i="6"/>
  <c r="Y57" i="6"/>
  <c r="AA57" i="6"/>
  <c r="AB57" i="6"/>
  <c r="AC57" i="6"/>
  <c r="AD57" i="6"/>
  <c r="AE57" i="6"/>
  <c r="AF57" i="6"/>
  <c r="AG57" i="6"/>
  <c r="AH57" i="6"/>
  <c r="AI57" i="6"/>
  <c r="AJ57" i="6"/>
  <c r="AK57" i="6"/>
  <c r="AL57" i="6"/>
  <c r="AM57" i="6"/>
  <c r="AN57" i="6"/>
  <c r="AO57" i="6"/>
  <c r="AP57" i="6"/>
  <c r="AQ57" i="6"/>
  <c r="U58" i="6"/>
  <c r="V58" i="6"/>
  <c r="W58" i="6"/>
  <c r="X58" i="6"/>
  <c r="Y58" i="6"/>
  <c r="AA58" i="6"/>
  <c r="AB58" i="6"/>
  <c r="AC58" i="6"/>
  <c r="AD58" i="6"/>
  <c r="AE58" i="6"/>
  <c r="AF58" i="6"/>
  <c r="AG58" i="6"/>
  <c r="AH58" i="6"/>
  <c r="AI58" i="6"/>
  <c r="AJ58" i="6"/>
  <c r="AK58" i="6"/>
  <c r="AL58" i="6"/>
  <c r="AM58" i="6"/>
  <c r="AN58" i="6"/>
  <c r="AO58" i="6"/>
  <c r="AP58" i="6"/>
  <c r="AQ58" i="6"/>
  <c r="U59" i="6"/>
  <c r="V59" i="6"/>
  <c r="W59" i="6"/>
  <c r="X59" i="6"/>
  <c r="Y59" i="6"/>
  <c r="AA59" i="6"/>
  <c r="AB59" i="6"/>
  <c r="AC59" i="6"/>
  <c r="AD59" i="6"/>
  <c r="AE59" i="6"/>
  <c r="AF59" i="6"/>
  <c r="AG59" i="6"/>
  <c r="AH59" i="6"/>
  <c r="AI59" i="6"/>
  <c r="AJ59" i="6"/>
  <c r="AK59" i="6"/>
  <c r="AL59" i="6"/>
  <c r="AM59" i="6"/>
  <c r="AN59" i="6"/>
  <c r="AO59" i="6"/>
  <c r="AP59" i="6"/>
  <c r="AQ59" i="6"/>
  <c r="U60" i="6"/>
  <c r="V60" i="6"/>
  <c r="W60" i="6"/>
  <c r="X60" i="6"/>
  <c r="Y60" i="6"/>
  <c r="AA60" i="6"/>
  <c r="AB60" i="6"/>
  <c r="AC60" i="6"/>
  <c r="AD60" i="6"/>
  <c r="AE60" i="6"/>
  <c r="AF60" i="6"/>
  <c r="AG60" i="6"/>
  <c r="AH60" i="6"/>
  <c r="AI60" i="6"/>
  <c r="AJ60" i="6"/>
  <c r="AK60" i="6"/>
  <c r="AL60" i="6"/>
  <c r="AM60" i="6"/>
  <c r="AN60" i="6"/>
  <c r="AO60" i="6"/>
  <c r="AP60" i="6"/>
  <c r="AQ60" i="6"/>
  <c r="AM34" i="6"/>
  <c r="AL34" i="6"/>
  <c r="AK34" i="6"/>
  <c r="AJ34" i="6"/>
  <c r="AI34" i="6"/>
  <c r="AN34" i="6"/>
  <c r="AO34" i="6"/>
  <c r="AP34" i="6"/>
  <c r="AP4" i="6"/>
  <c r="AH34" i="6"/>
  <c r="AG34" i="6"/>
  <c r="AF34" i="6"/>
  <c r="AE34" i="6"/>
  <c r="AD34" i="6"/>
  <c r="AC34" i="6"/>
  <c r="AB34" i="6"/>
  <c r="Y34" i="6"/>
  <c r="X34" i="6"/>
  <c r="AA34" i="6"/>
  <c r="W34" i="6"/>
  <c r="V34" i="6"/>
  <c r="T34" i="6"/>
  <c r="U34" i="6"/>
  <c r="S34" i="6"/>
  <c r="O34" i="6"/>
  <c r="L34" i="6"/>
  <c r="I34" i="6"/>
  <c r="H34" i="6"/>
  <c r="G34" i="6"/>
  <c r="A34" i="6"/>
  <c r="B34" i="6"/>
  <c r="C34" i="6"/>
  <c r="F34" i="6"/>
  <c r="E34" i="6"/>
  <c r="K4" i="10"/>
  <c r="K3" i="10"/>
  <c r="E3" i="3"/>
  <c r="P10" i="10"/>
  <c r="R5" i="6"/>
  <c r="S5" i="6"/>
  <c r="T5" i="6"/>
  <c r="U5" i="6"/>
  <c r="V5" i="6"/>
  <c r="W5" i="6"/>
  <c r="X5" i="6"/>
  <c r="Y5" i="6"/>
  <c r="Z5" i="6"/>
  <c r="AA5" i="6"/>
  <c r="AD5" i="6"/>
  <c r="AE5" i="6"/>
  <c r="AF5" i="6"/>
  <c r="AG5" i="6"/>
  <c r="AH5" i="6"/>
  <c r="AI5" i="6"/>
  <c r="AJ5" i="6"/>
  <c r="AL5" i="6"/>
  <c r="AM5" i="6"/>
  <c r="AN5" i="6"/>
  <c r="AO5" i="6"/>
  <c r="AP5" i="6"/>
  <c r="R6" i="6"/>
  <c r="S6" i="6"/>
  <c r="T6" i="6"/>
  <c r="U6" i="6"/>
  <c r="V6" i="6"/>
  <c r="W6" i="6"/>
  <c r="X6" i="6"/>
  <c r="Y6" i="6"/>
  <c r="Z6" i="6"/>
  <c r="AA6" i="6"/>
  <c r="AD6" i="6"/>
  <c r="AE6" i="6"/>
  <c r="AF6" i="6"/>
  <c r="AG6" i="6"/>
  <c r="AH6" i="6"/>
  <c r="AI6" i="6"/>
  <c r="AJ6" i="6"/>
  <c r="AK6" i="6"/>
  <c r="AL6" i="6"/>
  <c r="AM6" i="6"/>
  <c r="AN6" i="6"/>
  <c r="AO6" i="6"/>
  <c r="AP6" i="6"/>
  <c r="R7" i="6"/>
  <c r="S7" i="6"/>
  <c r="T7" i="6"/>
  <c r="U7" i="6"/>
  <c r="V7" i="6"/>
  <c r="W7" i="6"/>
  <c r="X7" i="6"/>
  <c r="Y7" i="6"/>
  <c r="Z7" i="6"/>
  <c r="AA7" i="6"/>
  <c r="AD7" i="6"/>
  <c r="AE7" i="6"/>
  <c r="AF7" i="6"/>
  <c r="AG7" i="6"/>
  <c r="AH7" i="6"/>
  <c r="AI7" i="6"/>
  <c r="AJ7" i="6"/>
  <c r="AK7" i="6"/>
  <c r="AL7" i="6"/>
  <c r="AM7" i="6"/>
  <c r="AN7" i="6"/>
  <c r="AO7" i="6"/>
  <c r="AP7" i="6"/>
  <c r="R8" i="6"/>
  <c r="S8" i="6"/>
  <c r="T8" i="6"/>
  <c r="U8" i="6"/>
  <c r="V8" i="6"/>
  <c r="W8" i="6"/>
  <c r="X8" i="6"/>
  <c r="Y8" i="6"/>
  <c r="Z8" i="6"/>
  <c r="AA8" i="6"/>
  <c r="AD8" i="6"/>
  <c r="AE8" i="6"/>
  <c r="AF8" i="6"/>
  <c r="AG8" i="6"/>
  <c r="AH8" i="6"/>
  <c r="AI8" i="6"/>
  <c r="AJ8" i="6"/>
  <c r="AK8" i="6"/>
  <c r="AL8" i="6"/>
  <c r="AM8" i="6"/>
  <c r="AN8" i="6"/>
  <c r="AO8" i="6"/>
  <c r="AP8" i="6"/>
  <c r="R9" i="6"/>
  <c r="S9" i="6"/>
  <c r="T9" i="6"/>
  <c r="U9" i="6"/>
  <c r="V9" i="6"/>
  <c r="W9" i="6"/>
  <c r="X9" i="6"/>
  <c r="Y9" i="6"/>
  <c r="Z9" i="6"/>
  <c r="AA9" i="6"/>
  <c r="AD9" i="6"/>
  <c r="AE9" i="6"/>
  <c r="AF9" i="6"/>
  <c r="AG9" i="6"/>
  <c r="AH9" i="6"/>
  <c r="AI9" i="6"/>
  <c r="AJ9" i="6"/>
  <c r="AK9" i="6"/>
  <c r="AL9" i="6"/>
  <c r="AM9" i="6"/>
  <c r="AN9" i="6"/>
  <c r="AO9" i="6"/>
  <c r="AP9" i="6"/>
  <c r="R10" i="6"/>
  <c r="S10" i="6"/>
  <c r="T10" i="6"/>
  <c r="U10" i="6"/>
  <c r="V10" i="6"/>
  <c r="W10" i="6"/>
  <c r="X10" i="6"/>
  <c r="Y10" i="6"/>
  <c r="Z10" i="6"/>
  <c r="AA10" i="6"/>
  <c r="AD10" i="6"/>
  <c r="AE10" i="6"/>
  <c r="AF10" i="6"/>
  <c r="AG10" i="6"/>
  <c r="AH10" i="6"/>
  <c r="AI10" i="6"/>
  <c r="AJ10" i="6"/>
  <c r="AK10" i="6"/>
  <c r="AL10" i="6"/>
  <c r="AM10" i="6"/>
  <c r="AN10" i="6"/>
  <c r="AO10" i="6"/>
  <c r="AP10" i="6"/>
  <c r="R11" i="6"/>
  <c r="S11" i="6"/>
  <c r="T11" i="6"/>
  <c r="U11" i="6"/>
  <c r="V11" i="6"/>
  <c r="W11" i="6"/>
  <c r="X11" i="6"/>
  <c r="Y11" i="6"/>
  <c r="Z11" i="6"/>
  <c r="AA11" i="6"/>
  <c r="AD11" i="6"/>
  <c r="AE11" i="6"/>
  <c r="AF11" i="6"/>
  <c r="AG11" i="6"/>
  <c r="AH11" i="6"/>
  <c r="AI11" i="6"/>
  <c r="AJ11" i="6"/>
  <c r="AK11" i="6"/>
  <c r="AL11" i="6"/>
  <c r="AM11" i="6"/>
  <c r="AN11" i="6"/>
  <c r="AO11" i="6"/>
  <c r="AP11" i="6"/>
  <c r="R12" i="6"/>
  <c r="S12" i="6"/>
  <c r="T12" i="6"/>
  <c r="U12" i="6"/>
  <c r="V12" i="6"/>
  <c r="W12" i="6"/>
  <c r="X12" i="6"/>
  <c r="Y12" i="6"/>
  <c r="Z12" i="6"/>
  <c r="AA12" i="6"/>
  <c r="AD12" i="6"/>
  <c r="AE12" i="6"/>
  <c r="AF12" i="6"/>
  <c r="AG12" i="6"/>
  <c r="AH12" i="6"/>
  <c r="AI12" i="6"/>
  <c r="AJ12" i="6"/>
  <c r="AK12" i="6"/>
  <c r="AL12" i="6"/>
  <c r="AM12" i="6"/>
  <c r="AN12" i="6"/>
  <c r="AO12" i="6"/>
  <c r="AP12" i="6"/>
  <c r="R13" i="6"/>
  <c r="S13" i="6"/>
  <c r="T13" i="6"/>
  <c r="U13" i="6"/>
  <c r="V13" i="6"/>
  <c r="W13" i="6"/>
  <c r="X13" i="6"/>
  <c r="Y13" i="6"/>
  <c r="Z13" i="6"/>
  <c r="AA13" i="6"/>
  <c r="AD13" i="6"/>
  <c r="AE13" i="6"/>
  <c r="AF13" i="6"/>
  <c r="AG13" i="6"/>
  <c r="AH13" i="6"/>
  <c r="AI13" i="6"/>
  <c r="AJ13" i="6"/>
  <c r="AK13" i="6"/>
  <c r="AL13" i="6"/>
  <c r="AM13" i="6"/>
  <c r="AN13" i="6"/>
  <c r="AO13" i="6"/>
  <c r="AP13" i="6"/>
  <c r="R14" i="6"/>
  <c r="S14" i="6"/>
  <c r="T14" i="6"/>
  <c r="U14" i="6"/>
  <c r="V14" i="6"/>
  <c r="W14" i="6"/>
  <c r="X14" i="6"/>
  <c r="Y14" i="6"/>
  <c r="Z14" i="6"/>
  <c r="AA14" i="6"/>
  <c r="AD14" i="6"/>
  <c r="AE14" i="6"/>
  <c r="AF14" i="6"/>
  <c r="AG14" i="6"/>
  <c r="AH14" i="6"/>
  <c r="AI14" i="6"/>
  <c r="AJ14" i="6"/>
  <c r="AK14" i="6"/>
  <c r="AL14" i="6"/>
  <c r="AM14" i="6"/>
  <c r="AN14" i="6"/>
  <c r="AO14" i="6"/>
  <c r="AP14" i="6"/>
  <c r="R15" i="6"/>
  <c r="S15" i="6"/>
  <c r="T15" i="6"/>
  <c r="U15" i="6"/>
  <c r="V15" i="6"/>
  <c r="W15" i="6"/>
  <c r="X15" i="6"/>
  <c r="Y15" i="6"/>
  <c r="Z15" i="6"/>
  <c r="AA15" i="6"/>
  <c r="AD15" i="6"/>
  <c r="AE15" i="6"/>
  <c r="AF15" i="6"/>
  <c r="AG15" i="6"/>
  <c r="AH15" i="6"/>
  <c r="AI15" i="6"/>
  <c r="AJ15" i="6"/>
  <c r="AK15" i="6"/>
  <c r="AL15" i="6"/>
  <c r="AM15" i="6"/>
  <c r="AN15" i="6"/>
  <c r="AO15" i="6"/>
  <c r="AP15" i="6"/>
  <c r="R16" i="6"/>
  <c r="S16" i="6"/>
  <c r="T16" i="6"/>
  <c r="U16" i="6"/>
  <c r="V16" i="6"/>
  <c r="W16" i="6"/>
  <c r="X16" i="6"/>
  <c r="Y16" i="6"/>
  <c r="Z16" i="6"/>
  <c r="AA16" i="6"/>
  <c r="AD16" i="6"/>
  <c r="AE16" i="6"/>
  <c r="AF16" i="6"/>
  <c r="AG16" i="6"/>
  <c r="AH16" i="6"/>
  <c r="AI16" i="6"/>
  <c r="AJ16" i="6"/>
  <c r="AK16" i="6"/>
  <c r="AL16" i="6"/>
  <c r="AM16" i="6"/>
  <c r="AN16" i="6"/>
  <c r="AO16" i="6"/>
  <c r="AP16" i="6"/>
  <c r="R17" i="6"/>
  <c r="S17" i="6"/>
  <c r="T17" i="6"/>
  <c r="U17" i="6"/>
  <c r="V17" i="6"/>
  <c r="W17" i="6"/>
  <c r="X17" i="6"/>
  <c r="Y17" i="6"/>
  <c r="Z17" i="6"/>
  <c r="AA17" i="6"/>
  <c r="AD17" i="6"/>
  <c r="AE17" i="6"/>
  <c r="AF17" i="6"/>
  <c r="AG17" i="6"/>
  <c r="AH17" i="6"/>
  <c r="AI17" i="6"/>
  <c r="AJ17" i="6"/>
  <c r="AK17" i="6"/>
  <c r="AL17" i="6"/>
  <c r="AM17" i="6"/>
  <c r="AN17" i="6"/>
  <c r="AO17" i="6"/>
  <c r="AP17" i="6"/>
  <c r="R18" i="6"/>
  <c r="S18" i="6"/>
  <c r="T18" i="6"/>
  <c r="U18" i="6"/>
  <c r="V18" i="6"/>
  <c r="W18" i="6"/>
  <c r="X18" i="6"/>
  <c r="Y18" i="6"/>
  <c r="Z18" i="6"/>
  <c r="AA18" i="6"/>
  <c r="AD18" i="6"/>
  <c r="AE18" i="6"/>
  <c r="AF18" i="6"/>
  <c r="AG18" i="6"/>
  <c r="AH18" i="6"/>
  <c r="AI18" i="6"/>
  <c r="AJ18" i="6"/>
  <c r="AK18" i="6"/>
  <c r="AL18" i="6"/>
  <c r="AM18" i="6"/>
  <c r="AN18" i="6"/>
  <c r="AO18" i="6"/>
  <c r="AP18" i="6"/>
  <c r="R19" i="6"/>
  <c r="S19" i="6"/>
  <c r="T19" i="6"/>
  <c r="U19" i="6"/>
  <c r="V19" i="6"/>
  <c r="W19" i="6"/>
  <c r="X19" i="6"/>
  <c r="Y19" i="6"/>
  <c r="Z19" i="6"/>
  <c r="AA19" i="6"/>
  <c r="AD19" i="6"/>
  <c r="AE19" i="6"/>
  <c r="AF19" i="6"/>
  <c r="AG19" i="6"/>
  <c r="AH19" i="6"/>
  <c r="AI19" i="6"/>
  <c r="AJ19" i="6"/>
  <c r="AK19" i="6"/>
  <c r="AL19" i="6"/>
  <c r="AM19" i="6"/>
  <c r="AN19" i="6"/>
  <c r="AO19" i="6"/>
  <c r="AP19" i="6"/>
  <c r="R20" i="6"/>
  <c r="S20" i="6"/>
  <c r="T20" i="6"/>
  <c r="U20" i="6"/>
  <c r="V20" i="6"/>
  <c r="W20" i="6"/>
  <c r="X20" i="6"/>
  <c r="Y20" i="6"/>
  <c r="Z20" i="6"/>
  <c r="AA20" i="6"/>
  <c r="AD20" i="6"/>
  <c r="AE20" i="6"/>
  <c r="AF20" i="6"/>
  <c r="AG20" i="6"/>
  <c r="AH20" i="6"/>
  <c r="AI20" i="6"/>
  <c r="AJ20" i="6"/>
  <c r="AK20" i="6"/>
  <c r="AL20" i="6"/>
  <c r="AM20" i="6"/>
  <c r="AN20" i="6"/>
  <c r="AO20" i="6"/>
  <c r="AP20" i="6"/>
  <c r="R21" i="6"/>
  <c r="S21" i="6"/>
  <c r="T21" i="6"/>
  <c r="U21" i="6"/>
  <c r="V21" i="6"/>
  <c r="W21" i="6"/>
  <c r="X21" i="6"/>
  <c r="Y21" i="6"/>
  <c r="Z21" i="6"/>
  <c r="AA21" i="6"/>
  <c r="AD21" i="6"/>
  <c r="AE21" i="6"/>
  <c r="AF21" i="6"/>
  <c r="AG21" i="6"/>
  <c r="AH21" i="6"/>
  <c r="AI21" i="6"/>
  <c r="AJ21" i="6"/>
  <c r="AK21" i="6"/>
  <c r="AL21" i="6"/>
  <c r="AM21" i="6"/>
  <c r="AN21" i="6"/>
  <c r="AO21" i="6"/>
  <c r="AP21" i="6"/>
  <c r="R22" i="6"/>
  <c r="S22" i="6"/>
  <c r="T22" i="6"/>
  <c r="U22" i="6"/>
  <c r="V22" i="6"/>
  <c r="W22" i="6"/>
  <c r="X22" i="6"/>
  <c r="Y22" i="6"/>
  <c r="Z22" i="6"/>
  <c r="AA22" i="6"/>
  <c r="AD22" i="6"/>
  <c r="AE22" i="6"/>
  <c r="AF22" i="6"/>
  <c r="AG22" i="6"/>
  <c r="AH22" i="6"/>
  <c r="AI22" i="6"/>
  <c r="AJ22" i="6"/>
  <c r="AK22" i="6"/>
  <c r="AL22" i="6"/>
  <c r="AM22" i="6"/>
  <c r="AN22" i="6"/>
  <c r="AO22" i="6"/>
  <c r="AP22" i="6"/>
  <c r="R23" i="6"/>
  <c r="S23" i="6"/>
  <c r="T23" i="6"/>
  <c r="U23" i="6"/>
  <c r="V23" i="6"/>
  <c r="W23" i="6"/>
  <c r="X23" i="6"/>
  <c r="Y23" i="6"/>
  <c r="Z23" i="6"/>
  <c r="AA23" i="6"/>
  <c r="AD23" i="6"/>
  <c r="AE23" i="6"/>
  <c r="AF23" i="6"/>
  <c r="AG23" i="6"/>
  <c r="AH23" i="6"/>
  <c r="AI23" i="6"/>
  <c r="AJ23" i="6"/>
  <c r="AK23" i="6"/>
  <c r="AL23" i="6"/>
  <c r="AM23" i="6"/>
  <c r="AN23" i="6"/>
  <c r="AO23" i="6"/>
  <c r="AP23" i="6"/>
  <c r="R24" i="6"/>
  <c r="S24" i="6"/>
  <c r="T24" i="6"/>
  <c r="U24" i="6"/>
  <c r="V24" i="6"/>
  <c r="W24" i="6"/>
  <c r="X24" i="6"/>
  <c r="Y24" i="6"/>
  <c r="Z24" i="6"/>
  <c r="AA24" i="6"/>
  <c r="AD24" i="6"/>
  <c r="AE24" i="6"/>
  <c r="AF24" i="6"/>
  <c r="AG24" i="6"/>
  <c r="AH24" i="6"/>
  <c r="AI24" i="6"/>
  <c r="AJ24" i="6"/>
  <c r="AK24" i="6"/>
  <c r="AL24" i="6"/>
  <c r="AM24" i="6"/>
  <c r="AN24" i="6"/>
  <c r="AO24" i="6"/>
  <c r="AP24" i="6"/>
  <c r="R25" i="6"/>
  <c r="S25" i="6"/>
  <c r="T25" i="6"/>
  <c r="U25" i="6"/>
  <c r="V25" i="6"/>
  <c r="W25" i="6"/>
  <c r="X25" i="6"/>
  <c r="Y25" i="6"/>
  <c r="Z25" i="6"/>
  <c r="AA25" i="6"/>
  <c r="AD25" i="6"/>
  <c r="AE25" i="6"/>
  <c r="AF25" i="6"/>
  <c r="AG25" i="6"/>
  <c r="AH25" i="6"/>
  <c r="AI25" i="6"/>
  <c r="AJ25" i="6"/>
  <c r="AK25" i="6"/>
  <c r="AL25" i="6"/>
  <c r="AM25" i="6"/>
  <c r="AN25" i="6"/>
  <c r="AO25" i="6"/>
  <c r="AP25" i="6"/>
  <c r="R26" i="6"/>
  <c r="S26" i="6"/>
  <c r="T26" i="6"/>
  <c r="U26" i="6"/>
  <c r="V26" i="6"/>
  <c r="W26" i="6"/>
  <c r="X26" i="6"/>
  <c r="Y26" i="6"/>
  <c r="Z26" i="6"/>
  <c r="AA26" i="6"/>
  <c r="AD26" i="6"/>
  <c r="AE26" i="6"/>
  <c r="AF26" i="6"/>
  <c r="AG26" i="6"/>
  <c r="AH26" i="6"/>
  <c r="AI26" i="6"/>
  <c r="AJ26" i="6"/>
  <c r="AK26" i="6"/>
  <c r="AL26" i="6"/>
  <c r="AM26" i="6"/>
  <c r="AN26" i="6"/>
  <c r="AO26" i="6"/>
  <c r="AP26" i="6"/>
  <c r="R27" i="6"/>
  <c r="S27" i="6"/>
  <c r="T27" i="6"/>
  <c r="U27" i="6"/>
  <c r="V27" i="6"/>
  <c r="W27" i="6"/>
  <c r="X27" i="6"/>
  <c r="Y27" i="6"/>
  <c r="Z27" i="6"/>
  <c r="AA27" i="6"/>
  <c r="AD27" i="6"/>
  <c r="AE27" i="6"/>
  <c r="AF27" i="6"/>
  <c r="AG27" i="6"/>
  <c r="AH27" i="6"/>
  <c r="AI27" i="6"/>
  <c r="AJ27" i="6"/>
  <c r="AK27" i="6"/>
  <c r="AL27" i="6"/>
  <c r="AM27" i="6"/>
  <c r="AN27" i="6"/>
  <c r="AO27" i="6"/>
  <c r="AP27" i="6"/>
  <c r="R28" i="6"/>
  <c r="S28" i="6"/>
  <c r="T28" i="6"/>
  <c r="U28" i="6"/>
  <c r="V28" i="6"/>
  <c r="W28" i="6"/>
  <c r="X28" i="6"/>
  <c r="Y28" i="6"/>
  <c r="Z28" i="6"/>
  <c r="AA28" i="6"/>
  <c r="AD28" i="6"/>
  <c r="AE28" i="6"/>
  <c r="AF28" i="6"/>
  <c r="AG28" i="6"/>
  <c r="AH28" i="6"/>
  <c r="AI28" i="6"/>
  <c r="AJ28" i="6"/>
  <c r="AK28" i="6"/>
  <c r="AL28" i="6"/>
  <c r="AM28" i="6"/>
  <c r="AN28" i="6"/>
  <c r="AO28" i="6"/>
  <c r="AP28" i="6"/>
  <c r="R29" i="6"/>
  <c r="S29" i="6"/>
  <c r="T29" i="6"/>
  <c r="U29" i="6"/>
  <c r="V29" i="6"/>
  <c r="W29" i="6"/>
  <c r="X29" i="6"/>
  <c r="Y29" i="6"/>
  <c r="Z29" i="6"/>
  <c r="AA29" i="6"/>
  <c r="AD29" i="6"/>
  <c r="AE29" i="6"/>
  <c r="AF29" i="6"/>
  <c r="AG29" i="6"/>
  <c r="AH29" i="6"/>
  <c r="AI29" i="6"/>
  <c r="AJ29" i="6"/>
  <c r="AK29" i="6"/>
  <c r="AL29" i="6"/>
  <c r="AM29" i="6"/>
  <c r="AN29" i="6"/>
  <c r="AO29" i="6"/>
  <c r="AP29" i="6"/>
  <c r="R30" i="6"/>
  <c r="S30" i="6"/>
  <c r="T30" i="6"/>
  <c r="U30" i="6"/>
  <c r="V30" i="6"/>
  <c r="W30" i="6"/>
  <c r="X30" i="6"/>
  <c r="Y30" i="6"/>
  <c r="Z30" i="6"/>
  <c r="AA30" i="6"/>
  <c r="AD30" i="6"/>
  <c r="AE30" i="6"/>
  <c r="AF30" i="6"/>
  <c r="AG30" i="6"/>
  <c r="AH30" i="6"/>
  <c r="AI30" i="6"/>
  <c r="AJ30" i="6"/>
  <c r="AK30" i="6"/>
  <c r="AL30" i="6"/>
  <c r="AM30" i="6"/>
  <c r="AN30" i="6"/>
  <c r="AO30" i="6"/>
  <c r="AP30" i="6"/>
  <c r="AN4" i="6"/>
  <c r="AA4" i="6"/>
  <c r="Y4" i="6"/>
  <c r="X4" i="6"/>
  <c r="Z41" i="6" l="1"/>
  <c r="Z37" i="6"/>
  <c r="Z59" i="6"/>
  <c r="Z47" i="6"/>
  <c r="Z54" i="6"/>
  <c r="Z58" i="6"/>
  <c r="Z57" i="6"/>
  <c r="Z44" i="6"/>
  <c r="Z60" i="6"/>
  <c r="Z56" i="6"/>
  <c r="Z45" i="6"/>
  <c r="Z50" i="6"/>
  <c r="Z46" i="6"/>
  <c r="R34" i="6"/>
  <c r="Z34" i="6"/>
  <c r="Z51" i="6"/>
  <c r="Z49" i="6"/>
  <c r="Z36" i="6"/>
  <c r="Z52" i="6"/>
  <c r="Z42" i="6"/>
  <c r="Z38" i="6"/>
  <c r="Z55" i="6"/>
  <c r="Z53" i="6"/>
  <c r="Z48" i="6"/>
  <c r="Z40" i="6"/>
  <c r="Z35" i="6"/>
  <c r="Z43" i="6"/>
  <c r="Z39" i="6"/>
  <c r="J10" i="10" l="1"/>
  <c r="E10" i="10"/>
  <c r="AB10" i="10" s="1"/>
  <c r="E9" i="3"/>
  <c r="B8" i="3"/>
  <c r="C59" i="10"/>
  <c r="C89" i="10" s="1"/>
  <c r="D59" i="10"/>
  <c r="D89" i="10" s="1"/>
  <c r="C60" i="10"/>
  <c r="C90" i="10" s="1"/>
  <c r="D60" i="10"/>
  <c r="D90" i="10" s="1"/>
  <c r="C61" i="10"/>
  <c r="C91" i="10" s="1"/>
  <c r="D61" i="10"/>
  <c r="D91" i="10" s="1"/>
  <c r="C62" i="10"/>
  <c r="C92" i="10" s="1"/>
  <c r="D62" i="10"/>
  <c r="D92" i="10" s="1"/>
  <c r="C63" i="10"/>
  <c r="C93" i="10" s="1"/>
  <c r="D63" i="10"/>
  <c r="D93" i="10" s="1"/>
  <c r="C64" i="10"/>
  <c r="C94" i="10" s="1"/>
  <c r="D64" i="10"/>
  <c r="D94" i="10" s="1"/>
  <c r="C65" i="10"/>
  <c r="C95" i="10" s="1"/>
  <c r="D65" i="10"/>
  <c r="D95" i="10" s="1"/>
  <c r="C66" i="10"/>
  <c r="C96" i="10" s="1"/>
  <c r="D66" i="10"/>
  <c r="D96" i="10" s="1"/>
  <c r="C67" i="10"/>
  <c r="C97" i="10" s="1"/>
  <c r="D67" i="10"/>
  <c r="D97" i="10" s="1"/>
  <c r="C68" i="10"/>
  <c r="C98" i="10" s="1"/>
  <c r="D68" i="10"/>
  <c r="D98" i="10" s="1"/>
  <c r="C69" i="10"/>
  <c r="C99" i="10" s="1"/>
  <c r="D69" i="10"/>
  <c r="D99" i="10" s="1"/>
  <c r="C70" i="10"/>
  <c r="C100" i="10" s="1"/>
  <c r="D70" i="10"/>
  <c r="D100" i="10" s="1"/>
  <c r="C71" i="10"/>
  <c r="C101" i="10" s="1"/>
  <c r="D71" i="10"/>
  <c r="D101" i="10" s="1"/>
  <c r="C72" i="10"/>
  <c r="C102" i="10" s="1"/>
  <c r="D72" i="10"/>
  <c r="D102" i="10" s="1"/>
  <c r="C73" i="10"/>
  <c r="C103" i="10" s="1"/>
  <c r="D73" i="10"/>
  <c r="D103" i="10" s="1"/>
  <c r="C74" i="10"/>
  <c r="C104" i="10" s="1"/>
  <c r="D74" i="10"/>
  <c r="D104" i="10" s="1"/>
  <c r="C75" i="10"/>
  <c r="C105" i="10" s="1"/>
  <c r="D75" i="10"/>
  <c r="D105" i="10" s="1"/>
  <c r="C76" i="10"/>
  <c r="C106" i="10" s="1"/>
  <c r="D76" i="10"/>
  <c r="D106" i="10" s="1"/>
  <c r="C77" i="10"/>
  <c r="C107" i="10" s="1"/>
  <c r="D77" i="10"/>
  <c r="D107" i="10" s="1"/>
  <c r="C78" i="10"/>
  <c r="C108" i="10" s="1"/>
  <c r="D78" i="10"/>
  <c r="D108" i="10" s="1"/>
  <c r="C79" i="10"/>
  <c r="C109" i="10" s="1"/>
  <c r="D79" i="10"/>
  <c r="D109" i="10" s="1"/>
  <c r="C80" i="10"/>
  <c r="C110" i="10" s="1"/>
  <c r="D80" i="10"/>
  <c r="D110" i="10" s="1"/>
  <c r="C81" i="10"/>
  <c r="C111" i="10" s="1"/>
  <c r="D81" i="10"/>
  <c r="D111" i="10" s="1"/>
  <c r="C82" i="10"/>
  <c r="C112" i="10" s="1"/>
  <c r="D82" i="10"/>
  <c r="D112" i="10" s="1"/>
  <c r="C83" i="10"/>
  <c r="C113" i="10" s="1"/>
  <c r="D83" i="10"/>
  <c r="D113" i="10" s="1"/>
  <c r="C84" i="10"/>
  <c r="C114" i="10" s="1"/>
  <c r="D84" i="10"/>
  <c r="D114" i="10" s="1"/>
  <c r="D58" i="10"/>
  <c r="D88" i="10" s="1"/>
  <c r="C58" i="10"/>
  <c r="C88" i="10" s="1"/>
  <c r="M93" i="10"/>
  <c r="U88" i="10"/>
  <c r="T88" i="10"/>
  <c r="S88" i="10"/>
  <c r="R88" i="10"/>
  <c r="P88" i="10"/>
  <c r="O88" i="10"/>
  <c r="Q88" i="10"/>
  <c r="AZ18" i="10"/>
  <c r="AZ19" i="10"/>
  <c r="AZ20" i="10"/>
  <c r="AZ21" i="10"/>
  <c r="AZ22" i="10"/>
  <c r="AZ23" i="10"/>
  <c r="AZ24" i="10"/>
  <c r="AZ25" i="10"/>
  <c r="AZ26" i="10"/>
  <c r="AZ27" i="10"/>
  <c r="AZ28" i="10"/>
  <c r="AZ29" i="10"/>
  <c r="AZ30" i="10"/>
  <c r="AZ31" i="10"/>
  <c r="AZ32" i="10"/>
  <c r="AZ33" i="10"/>
  <c r="AZ34" i="10"/>
  <c r="AZ35" i="10"/>
  <c r="AZ36" i="10"/>
  <c r="AZ37" i="10"/>
  <c r="AZ38" i="10"/>
  <c r="AZ39" i="10"/>
  <c r="AZ40" i="10"/>
  <c r="AZ41" i="10"/>
  <c r="AZ42" i="10"/>
  <c r="AZ43" i="10"/>
  <c r="AZ17" i="10"/>
  <c r="V88" i="10"/>
  <c r="AB108" i="10" l="1"/>
  <c r="AB102" i="10"/>
  <c r="AB94" i="10"/>
  <c r="AB114" i="10"/>
  <c r="AC114" i="10" s="1"/>
  <c r="AA43" i="10" s="1"/>
  <c r="AB112" i="10"/>
  <c r="AB110" i="10"/>
  <c r="AC110" i="10" s="1"/>
  <c r="AA39" i="10" s="1"/>
  <c r="AB106" i="10"/>
  <c r="AC106" i="10" s="1"/>
  <c r="AA35" i="10" s="1"/>
  <c r="AB104" i="10"/>
  <c r="AC104" i="10" s="1"/>
  <c r="AA33" i="10" s="1"/>
  <c r="AB100" i="10"/>
  <c r="AB98" i="10"/>
  <c r="AC98" i="10" s="1"/>
  <c r="AA27" i="10" s="1"/>
  <c r="AB96" i="10"/>
  <c r="AC96" i="10" s="1"/>
  <c r="AA25" i="10" s="1"/>
  <c r="AB92" i="10"/>
  <c r="AC92" i="10" s="1"/>
  <c r="AA21" i="10" s="1"/>
  <c r="AB113" i="10"/>
  <c r="AB111" i="10"/>
  <c r="AB109" i="10"/>
  <c r="AC109" i="10" s="1"/>
  <c r="AA38" i="10" s="1"/>
  <c r="AB107" i="10"/>
  <c r="AC107" i="10" s="1"/>
  <c r="AA36" i="10" s="1"/>
  <c r="AB105" i="10"/>
  <c r="AB103" i="10"/>
  <c r="AC103" i="10" s="1"/>
  <c r="AA32" i="10" s="1"/>
  <c r="AB101" i="10"/>
  <c r="AC101" i="10" s="1"/>
  <c r="AA30" i="10" s="1"/>
  <c r="AB99" i="10"/>
  <c r="AC99" i="10" s="1"/>
  <c r="AA28" i="10" s="1"/>
  <c r="AB97" i="10"/>
  <c r="AB95" i="10"/>
  <c r="AB93" i="10"/>
  <c r="AC93" i="10" s="1"/>
  <c r="AA22" i="10" s="1"/>
  <c r="AB91" i="10"/>
  <c r="AC91" i="10" s="1"/>
  <c r="AA20" i="10" s="1"/>
  <c r="AB89" i="10"/>
  <c r="AC89" i="10" s="1"/>
  <c r="AA18" i="10" s="1"/>
  <c r="AC111" i="10"/>
  <c r="AA40" i="10" s="1"/>
  <c r="AC113" i="10"/>
  <c r="AA42" i="10" s="1"/>
  <c r="AC105" i="10"/>
  <c r="AA34" i="10" s="1"/>
  <c r="AC97" i="10"/>
  <c r="AA26" i="10" s="1"/>
  <c r="AC112" i="10"/>
  <c r="AA41" i="10" s="1"/>
  <c r="AC108" i="10"/>
  <c r="AA37" i="10" s="1"/>
  <c r="AC102" i="10"/>
  <c r="AA31" i="10" s="1"/>
  <c r="AC100" i="10"/>
  <c r="AA29" i="10" s="1"/>
  <c r="AC95" i="10"/>
  <c r="AA24" i="10" s="1"/>
  <c r="AC94" i="10"/>
  <c r="AA23" i="10" s="1"/>
  <c r="F89" i="10" l="1"/>
  <c r="H89" i="10"/>
  <c r="I89" i="10"/>
  <c r="J89" i="10"/>
  <c r="K89" i="10"/>
  <c r="L89" i="10"/>
  <c r="M89" i="10"/>
  <c r="F90" i="10"/>
  <c r="H90" i="10"/>
  <c r="I90" i="10"/>
  <c r="J90" i="10"/>
  <c r="K90" i="10"/>
  <c r="L90" i="10"/>
  <c r="M90" i="10"/>
  <c r="AB90" i="10" s="1"/>
  <c r="AC90" i="10" s="1"/>
  <c r="AA19" i="10" s="1"/>
  <c r="F91" i="10"/>
  <c r="H91" i="10"/>
  <c r="I91" i="10"/>
  <c r="J91" i="10"/>
  <c r="K91" i="10"/>
  <c r="L91" i="10"/>
  <c r="M91" i="10"/>
  <c r="F92" i="10"/>
  <c r="H92" i="10"/>
  <c r="I92" i="10"/>
  <c r="J92" i="10"/>
  <c r="K92" i="10"/>
  <c r="L92" i="10"/>
  <c r="M92" i="10"/>
  <c r="F93" i="10"/>
  <c r="H93" i="10"/>
  <c r="I93" i="10"/>
  <c r="J93" i="10"/>
  <c r="K93" i="10"/>
  <c r="L93" i="10"/>
  <c r="F94" i="10"/>
  <c r="H94" i="10"/>
  <c r="I94" i="10"/>
  <c r="J94" i="10"/>
  <c r="K94" i="10"/>
  <c r="L94" i="10"/>
  <c r="M94" i="10"/>
  <c r="F95" i="10"/>
  <c r="H95" i="10"/>
  <c r="I95" i="10"/>
  <c r="J95" i="10"/>
  <c r="K95" i="10"/>
  <c r="L95" i="10"/>
  <c r="M95" i="10"/>
  <c r="F96" i="10"/>
  <c r="H96" i="10"/>
  <c r="I96" i="10"/>
  <c r="J96" i="10"/>
  <c r="K96" i="10"/>
  <c r="L96" i="10"/>
  <c r="M96" i="10"/>
  <c r="F97" i="10"/>
  <c r="H97" i="10"/>
  <c r="I97" i="10"/>
  <c r="J97" i="10"/>
  <c r="K97" i="10"/>
  <c r="L97" i="10"/>
  <c r="M97" i="10"/>
  <c r="F98" i="10"/>
  <c r="H98" i="10"/>
  <c r="I98" i="10"/>
  <c r="J98" i="10"/>
  <c r="K98" i="10"/>
  <c r="L98" i="10"/>
  <c r="M98" i="10"/>
  <c r="F99" i="10"/>
  <c r="H99" i="10"/>
  <c r="I99" i="10"/>
  <c r="J99" i="10"/>
  <c r="K99" i="10"/>
  <c r="L99" i="10"/>
  <c r="M99" i="10"/>
  <c r="F100" i="10"/>
  <c r="H100" i="10"/>
  <c r="I100" i="10"/>
  <c r="J100" i="10"/>
  <c r="K100" i="10"/>
  <c r="L100" i="10"/>
  <c r="M100" i="10"/>
  <c r="F101" i="10"/>
  <c r="H101" i="10"/>
  <c r="I101" i="10"/>
  <c r="J101" i="10"/>
  <c r="K101" i="10"/>
  <c r="L101" i="10"/>
  <c r="M101" i="10"/>
  <c r="F102" i="10"/>
  <c r="H102" i="10"/>
  <c r="I102" i="10"/>
  <c r="J102" i="10"/>
  <c r="K102" i="10"/>
  <c r="L102" i="10"/>
  <c r="M102" i="10"/>
  <c r="F103" i="10"/>
  <c r="H103" i="10"/>
  <c r="I103" i="10"/>
  <c r="J103" i="10"/>
  <c r="K103" i="10"/>
  <c r="L103" i="10"/>
  <c r="M103" i="10"/>
  <c r="F104" i="10"/>
  <c r="H104" i="10"/>
  <c r="I104" i="10"/>
  <c r="J104" i="10"/>
  <c r="K104" i="10"/>
  <c r="L104" i="10"/>
  <c r="M104" i="10"/>
  <c r="F105" i="10"/>
  <c r="H105" i="10"/>
  <c r="I105" i="10"/>
  <c r="J105" i="10"/>
  <c r="K105" i="10"/>
  <c r="L105" i="10"/>
  <c r="M105" i="10"/>
  <c r="F106" i="10"/>
  <c r="H106" i="10"/>
  <c r="I106" i="10"/>
  <c r="J106" i="10"/>
  <c r="K106" i="10"/>
  <c r="L106" i="10"/>
  <c r="M106" i="10"/>
  <c r="F107" i="10"/>
  <c r="H107" i="10"/>
  <c r="I107" i="10"/>
  <c r="J107" i="10"/>
  <c r="K107" i="10"/>
  <c r="L107" i="10"/>
  <c r="M107" i="10"/>
  <c r="F108" i="10"/>
  <c r="H108" i="10"/>
  <c r="I108" i="10"/>
  <c r="J108" i="10"/>
  <c r="K108" i="10"/>
  <c r="L108" i="10"/>
  <c r="M108" i="10"/>
  <c r="F109" i="10"/>
  <c r="H109" i="10"/>
  <c r="I109" i="10"/>
  <c r="J109" i="10"/>
  <c r="K109" i="10"/>
  <c r="L109" i="10"/>
  <c r="M109" i="10"/>
  <c r="F110" i="10"/>
  <c r="H110" i="10"/>
  <c r="I110" i="10"/>
  <c r="J110" i="10"/>
  <c r="K110" i="10"/>
  <c r="L110" i="10"/>
  <c r="M110" i="10"/>
  <c r="F111" i="10"/>
  <c r="H111" i="10"/>
  <c r="I111" i="10"/>
  <c r="J111" i="10"/>
  <c r="K111" i="10"/>
  <c r="L111" i="10"/>
  <c r="M111" i="10"/>
  <c r="F112" i="10"/>
  <c r="H112" i="10"/>
  <c r="I112" i="10"/>
  <c r="J112" i="10"/>
  <c r="K112" i="10"/>
  <c r="L112" i="10"/>
  <c r="M112" i="10"/>
  <c r="F113" i="10"/>
  <c r="H113" i="10"/>
  <c r="I113" i="10"/>
  <c r="J113" i="10"/>
  <c r="K113" i="10"/>
  <c r="L113" i="10"/>
  <c r="M113" i="10"/>
  <c r="F114" i="10"/>
  <c r="H114" i="10"/>
  <c r="I114" i="10"/>
  <c r="J114" i="10"/>
  <c r="K114" i="10"/>
  <c r="L114" i="10"/>
  <c r="M114" i="10"/>
  <c r="H88" i="10"/>
  <c r="I88" i="10"/>
  <c r="J88" i="10"/>
  <c r="K88" i="10"/>
  <c r="L88" i="10"/>
  <c r="M88" i="10"/>
  <c r="AB88" i="10" s="1"/>
  <c r="F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88" i="10"/>
  <c r="AJ5" i="10"/>
  <c r="AI7" i="10" s="1"/>
  <c r="AI8" i="10" s="1"/>
  <c r="AJ8" i="10" s="1"/>
  <c r="AO8" i="10" s="1"/>
  <c r="H7" i="3"/>
  <c r="H155" i="10"/>
  <c r="F155" i="10"/>
  <c r="E155" i="10"/>
  <c r="D155" i="10"/>
  <c r="C155" i="10"/>
  <c r="H154" i="10"/>
  <c r="S154" i="10" s="1"/>
  <c r="F154" i="10"/>
  <c r="E154" i="10"/>
  <c r="D154" i="10"/>
  <c r="C154" i="10"/>
  <c r="H153" i="10"/>
  <c r="F153" i="10"/>
  <c r="E153" i="10"/>
  <c r="D153" i="10"/>
  <c r="C153" i="10"/>
  <c r="H152" i="10"/>
  <c r="F152" i="10"/>
  <c r="E152" i="10"/>
  <c r="D152" i="10"/>
  <c r="C152" i="10"/>
  <c r="H151" i="10"/>
  <c r="T151" i="10" s="1"/>
  <c r="U151" i="10" s="1"/>
  <c r="F151" i="10"/>
  <c r="E151" i="10"/>
  <c r="D151" i="10"/>
  <c r="C151" i="10"/>
  <c r="H150" i="10"/>
  <c r="T150" i="10" s="1"/>
  <c r="U150" i="10" s="1"/>
  <c r="F150" i="10"/>
  <c r="E150" i="10"/>
  <c r="D150" i="10"/>
  <c r="C150" i="10"/>
  <c r="H149" i="10"/>
  <c r="T149" i="10" s="1"/>
  <c r="U149" i="10" s="1"/>
  <c r="F149" i="10"/>
  <c r="E149" i="10"/>
  <c r="D149" i="10"/>
  <c r="C149" i="10"/>
  <c r="H148" i="10"/>
  <c r="M148" i="10" s="1"/>
  <c r="N148" i="10" s="1"/>
  <c r="F148" i="10"/>
  <c r="E148" i="10"/>
  <c r="D148" i="10"/>
  <c r="C148" i="10"/>
  <c r="H147" i="10"/>
  <c r="M147" i="10" s="1"/>
  <c r="N147" i="10" s="1"/>
  <c r="F147" i="10"/>
  <c r="E147" i="10"/>
  <c r="D147" i="10"/>
  <c r="C147" i="10"/>
  <c r="H146" i="10"/>
  <c r="M146" i="10" s="1"/>
  <c r="N146" i="10" s="1"/>
  <c r="F146" i="10"/>
  <c r="E146" i="10"/>
  <c r="D146" i="10"/>
  <c r="C146" i="10"/>
  <c r="H145" i="10"/>
  <c r="M145" i="10" s="1"/>
  <c r="N145" i="10" s="1"/>
  <c r="F145" i="10"/>
  <c r="E145" i="10"/>
  <c r="D145" i="10"/>
  <c r="C145" i="10"/>
  <c r="H144" i="10"/>
  <c r="M144" i="10" s="1"/>
  <c r="N144" i="10" s="1"/>
  <c r="F144" i="10"/>
  <c r="E144" i="10"/>
  <c r="D144" i="10"/>
  <c r="C144" i="10"/>
  <c r="H143" i="10"/>
  <c r="M143" i="10" s="1"/>
  <c r="N143" i="10" s="1"/>
  <c r="F143" i="10"/>
  <c r="E143" i="10"/>
  <c r="D143" i="10"/>
  <c r="C143" i="10"/>
  <c r="H142" i="10"/>
  <c r="M142" i="10" s="1"/>
  <c r="N142" i="10" s="1"/>
  <c r="F142" i="10"/>
  <c r="E142" i="10"/>
  <c r="D142" i="10"/>
  <c r="C142" i="10"/>
  <c r="H141" i="10"/>
  <c r="M141" i="10" s="1"/>
  <c r="N141" i="10" s="1"/>
  <c r="F141" i="10"/>
  <c r="E141" i="10"/>
  <c r="D141" i="10"/>
  <c r="C141" i="10"/>
  <c r="H140" i="10"/>
  <c r="M140" i="10" s="1"/>
  <c r="N140" i="10" s="1"/>
  <c r="F140" i="10"/>
  <c r="E140" i="10"/>
  <c r="D140" i="10"/>
  <c r="C140" i="10"/>
  <c r="H139" i="10"/>
  <c r="M139" i="10" s="1"/>
  <c r="N139" i="10" s="1"/>
  <c r="F139" i="10"/>
  <c r="E139" i="10"/>
  <c r="D139" i="10"/>
  <c r="C139" i="10"/>
  <c r="H138" i="10"/>
  <c r="M138" i="10" s="1"/>
  <c r="N138" i="10" s="1"/>
  <c r="F138" i="10"/>
  <c r="E138" i="10"/>
  <c r="D138" i="10"/>
  <c r="C138" i="10"/>
  <c r="H137" i="10"/>
  <c r="M137" i="10" s="1"/>
  <c r="N137" i="10" s="1"/>
  <c r="F137" i="10"/>
  <c r="E137" i="10"/>
  <c r="D137" i="10"/>
  <c r="C137" i="10"/>
  <c r="H136" i="10"/>
  <c r="M136" i="10" s="1"/>
  <c r="N136" i="10" s="1"/>
  <c r="F136" i="10"/>
  <c r="E136" i="10"/>
  <c r="D136" i="10"/>
  <c r="C136" i="10"/>
  <c r="H135" i="10"/>
  <c r="M135" i="10" s="1"/>
  <c r="N135" i="10" s="1"/>
  <c r="F135" i="10"/>
  <c r="E135" i="10"/>
  <c r="D135" i="10"/>
  <c r="C135" i="10"/>
  <c r="H134" i="10"/>
  <c r="M134" i="10" s="1"/>
  <c r="N134" i="10" s="1"/>
  <c r="F134" i="10"/>
  <c r="E134" i="10"/>
  <c r="D134" i="10"/>
  <c r="C134" i="10"/>
  <c r="H133" i="10"/>
  <c r="M133" i="10" s="1"/>
  <c r="N133" i="10" s="1"/>
  <c r="F133" i="10"/>
  <c r="E133" i="10"/>
  <c r="D133" i="10"/>
  <c r="C133" i="10"/>
  <c r="H132" i="10"/>
  <c r="M132" i="10" s="1"/>
  <c r="N132" i="10" s="1"/>
  <c r="F132" i="10"/>
  <c r="E132" i="10"/>
  <c r="D132" i="10"/>
  <c r="C132" i="10"/>
  <c r="H131" i="10"/>
  <c r="M131" i="10" s="1"/>
  <c r="N131" i="10" s="1"/>
  <c r="F131" i="10"/>
  <c r="E131" i="10"/>
  <c r="D131" i="10"/>
  <c r="C131" i="10"/>
  <c r="H130" i="10"/>
  <c r="M130" i="10" s="1"/>
  <c r="N130" i="10" s="1"/>
  <c r="F130" i="10"/>
  <c r="E130" i="10"/>
  <c r="D130" i="10"/>
  <c r="C130" i="10"/>
  <c r="F129" i="10"/>
  <c r="H129" i="10" s="1"/>
  <c r="M129" i="10" s="1"/>
  <c r="N129" i="10" s="1"/>
  <c r="E129" i="10"/>
  <c r="D129" i="10"/>
  <c r="C129" i="10"/>
  <c r="F84" i="10"/>
  <c r="E84" i="10"/>
  <c r="H84" i="10" s="1"/>
  <c r="L84" i="10" s="1"/>
  <c r="P84" i="10"/>
  <c r="A84" i="10"/>
  <c r="F83" i="10"/>
  <c r="E83" i="10"/>
  <c r="P83" i="10"/>
  <c r="U83" i="10" s="1"/>
  <c r="A83" i="10"/>
  <c r="F82" i="10"/>
  <c r="E82" i="10"/>
  <c r="K82" i="10" s="1"/>
  <c r="N82" i="10" s="1"/>
  <c r="P82" i="10"/>
  <c r="A82" i="10"/>
  <c r="Z81" i="10"/>
  <c r="Y81" i="10"/>
  <c r="F81" i="10"/>
  <c r="E81" i="10"/>
  <c r="K81" i="10" s="1"/>
  <c r="N81" i="10" s="1"/>
  <c r="P81" i="10"/>
  <c r="V81" i="10" s="1"/>
  <c r="A81" i="10"/>
  <c r="Z80" i="10"/>
  <c r="Y80" i="10"/>
  <c r="F80" i="10"/>
  <c r="E80" i="10"/>
  <c r="K80" i="10" s="1"/>
  <c r="N80" i="10" s="1"/>
  <c r="P80" i="10"/>
  <c r="A80" i="10"/>
  <c r="Z79" i="10"/>
  <c r="Y79" i="10"/>
  <c r="F79" i="10"/>
  <c r="E79" i="10"/>
  <c r="K79" i="10" s="1"/>
  <c r="N79" i="10" s="1"/>
  <c r="P79" i="10"/>
  <c r="S79" i="10" s="1"/>
  <c r="A79" i="10"/>
  <c r="Z78" i="10"/>
  <c r="Y78" i="10"/>
  <c r="F78" i="10"/>
  <c r="E78" i="10"/>
  <c r="H78" i="10" s="1"/>
  <c r="L78" i="10" s="1"/>
  <c r="P78" i="10"/>
  <c r="A78" i="10"/>
  <c r="Z77" i="10"/>
  <c r="Y77" i="10"/>
  <c r="F77" i="10"/>
  <c r="E77" i="10"/>
  <c r="K77" i="10" s="1"/>
  <c r="N77" i="10" s="1"/>
  <c r="P77" i="10"/>
  <c r="S77" i="10" s="1"/>
  <c r="A77" i="10"/>
  <c r="Z76" i="10"/>
  <c r="Y76" i="10"/>
  <c r="F76" i="10"/>
  <c r="E76" i="10"/>
  <c r="K76" i="10" s="1"/>
  <c r="N76" i="10" s="1"/>
  <c r="P76" i="10"/>
  <c r="S76" i="10" s="1"/>
  <c r="A76" i="10"/>
  <c r="Z75" i="10"/>
  <c r="Y75" i="10"/>
  <c r="F75" i="10"/>
  <c r="E75" i="10"/>
  <c r="K75" i="10" s="1"/>
  <c r="N75" i="10" s="1"/>
  <c r="P75" i="10"/>
  <c r="V75" i="10" s="1"/>
  <c r="A75" i="10"/>
  <c r="Z74" i="10"/>
  <c r="Y74" i="10"/>
  <c r="F74" i="10"/>
  <c r="E74" i="10"/>
  <c r="H74" i="10" s="1"/>
  <c r="L74" i="10" s="1"/>
  <c r="P74" i="10"/>
  <c r="A74" i="10"/>
  <c r="Z73" i="10"/>
  <c r="Y73" i="10"/>
  <c r="F73" i="10"/>
  <c r="E73" i="10"/>
  <c r="K73" i="10" s="1"/>
  <c r="N73" i="10" s="1"/>
  <c r="P73" i="10"/>
  <c r="U73" i="10" s="1"/>
  <c r="A73" i="10"/>
  <c r="Z72" i="10"/>
  <c r="Y72" i="10"/>
  <c r="F72" i="10"/>
  <c r="E72" i="10"/>
  <c r="K72" i="10" s="1"/>
  <c r="N72" i="10" s="1"/>
  <c r="P72" i="10"/>
  <c r="A72" i="10"/>
  <c r="Z71" i="10"/>
  <c r="Y71" i="10"/>
  <c r="F71" i="10"/>
  <c r="E71" i="10"/>
  <c r="K71" i="10" s="1"/>
  <c r="N71" i="10" s="1"/>
  <c r="P71" i="10"/>
  <c r="V71" i="10" s="1"/>
  <c r="A71" i="10"/>
  <c r="Z70" i="10"/>
  <c r="Y70" i="10"/>
  <c r="F70" i="10"/>
  <c r="E70" i="10"/>
  <c r="H70" i="10" s="1"/>
  <c r="L70" i="10" s="1"/>
  <c r="P70" i="10"/>
  <c r="A70" i="10"/>
  <c r="Z69" i="10"/>
  <c r="Y69" i="10"/>
  <c r="F69" i="10"/>
  <c r="E69" i="10"/>
  <c r="K69" i="10" s="1"/>
  <c r="N69" i="10" s="1"/>
  <c r="P69" i="10"/>
  <c r="U69" i="10" s="1"/>
  <c r="A69" i="10"/>
  <c r="Z68" i="10"/>
  <c r="Y68" i="10"/>
  <c r="F68" i="10"/>
  <c r="E68" i="10"/>
  <c r="K68" i="10" s="1"/>
  <c r="N68" i="10" s="1"/>
  <c r="P68" i="10"/>
  <c r="V68" i="10" s="1"/>
  <c r="A68" i="10"/>
  <c r="Z67" i="10"/>
  <c r="Y67" i="10"/>
  <c r="F67" i="10"/>
  <c r="E67" i="10"/>
  <c r="K67" i="10" s="1"/>
  <c r="N67" i="10" s="1"/>
  <c r="P67" i="10"/>
  <c r="V67" i="10" s="1"/>
  <c r="A67" i="10"/>
  <c r="Z66" i="10"/>
  <c r="Y66" i="10"/>
  <c r="F66" i="10"/>
  <c r="E66" i="10"/>
  <c r="H66" i="10" s="1"/>
  <c r="L66" i="10" s="1"/>
  <c r="P66" i="10"/>
  <c r="V66" i="10" s="1"/>
  <c r="A66" i="10"/>
  <c r="Z65" i="10"/>
  <c r="Y65" i="10"/>
  <c r="F65" i="10"/>
  <c r="E65" i="10"/>
  <c r="P65" i="10"/>
  <c r="A65" i="10"/>
  <c r="Z64" i="10"/>
  <c r="Y64" i="10"/>
  <c r="F64" i="10"/>
  <c r="E64" i="10"/>
  <c r="K64" i="10" s="1"/>
  <c r="N64" i="10" s="1"/>
  <c r="P64" i="10"/>
  <c r="Q64" i="10" s="1"/>
  <c r="A64" i="10"/>
  <c r="Z63" i="10"/>
  <c r="Y63" i="10"/>
  <c r="F63" i="10"/>
  <c r="E63" i="10"/>
  <c r="K63" i="10" s="1"/>
  <c r="N63" i="10" s="1"/>
  <c r="A63" i="10"/>
  <c r="Z62" i="10"/>
  <c r="Y62" i="10"/>
  <c r="F62" i="10"/>
  <c r="E62" i="10"/>
  <c r="K62" i="10" s="1"/>
  <c r="N62" i="10" s="1"/>
  <c r="A62" i="10"/>
  <c r="Z61" i="10"/>
  <c r="Y61" i="10"/>
  <c r="F61" i="10"/>
  <c r="E61" i="10"/>
  <c r="H61" i="10" s="1"/>
  <c r="L61" i="10" s="1"/>
  <c r="A61" i="10"/>
  <c r="Z60" i="10"/>
  <c r="Y60" i="10"/>
  <c r="F60" i="10"/>
  <c r="E60" i="10"/>
  <c r="K60" i="10" s="1"/>
  <c r="N60" i="10" s="1"/>
  <c r="A60" i="10"/>
  <c r="Z59" i="10"/>
  <c r="Y59" i="10"/>
  <c r="F59" i="10"/>
  <c r="E59" i="10"/>
  <c r="K59" i="10" s="1"/>
  <c r="N59" i="10" s="1"/>
  <c r="A59" i="10"/>
  <c r="Z58" i="10"/>
  <c r="Y58" i="10"/>
  <c r="F58" i="10"/>
  <c r="E58" i="10"/>
  <c r="K58" i="10" s="1"/>
  <c r="N58" i="10" s="1"/>
  <c r="A58" i="10"/>
  <c r="BG43" i="10"/>
  <c r="BD43" i="10"/>
  <c r="AX43" i="10"/>
  <c r="AW43" i="10"/>
  <c r="AV43" i="10"/>
  <c r="AD43" i="10"/>
  <c r="BF43" i="10" s="1"/>
  <c r="BG42" i="10"/>
  <c r="BD42" i="10"/>
  <c r="AX42" i="10"/>
  <c r="AW42" i="10"/>
  <c r="AV42" i="10"/>
  <c r="AD42" i="10"/>
  <c r="BG41" i="10"/>
  <c r="BD41" i="10"/>
  <c r="AX41" i="10"/>
  <c r="AW41" i="10"/>
  <c r="AV41" i="10"/>
  <c r="AD41" i="10"/>
  <c r="BI41" i="10" s="1"/>
  <c r="BG40" i="10"/>
  <c r="BD40" i="10"/>
  <c r="AX40" i="10"/>
  <c r="AW40" i="10"/>
  <c r="AV40" i="10"/>
  <c r="AD40" i="10"/>
  <c r="BG39" i="10"/>
  <c r="BD39" i="10"/>
  <c r="AX39" i="10"/>
  <c r="AW39" i="10"/>
  <c r="AV39" i="10"/>
  <c r="AD39" i="10"/>
  <c r="BF39" i="10" s="1"/>
  <c r="BG38" i="10"/>
  <c r="BD38" i="10"/>
  <c r="AX38" i="10"/>
  <c r="AW38" i="10"/>
  <c r="AV38" i="10"/>
  <c r="AD38" i="10"/>
  <c r="BG37" i="10"/>
  <c r="BD37" i="10"/>
  <c r="AX37" i="10"/>
  <c r="AW37" i="10"/>
  <c r="AV37" i="10"/>
  <c r="AD37" i="10"/>
  <c r="BI37" i="10" s="1"/>
  <c r="BG36" i="10"/>
  <c r="BD36" i="10"/>
  <c r="AX36" i="10"/>
  <c r="AW36" i="10"/>
  <c r="AV36" i="10"/>
  <c r="AD36" i="10"/>
  <c r="BG35" i="10"/>
  <c r="BD35" i="10"/>
  <c r="AX35" i="10"/>
  <c r="AW35" i="10"/>
  <c r="AV35" i="10"/>
  <c r="AD35" i="10"/>
  <c r="BF35" i="10" s="1"/>
  <c r="BG34" i="10"/>
  <c r="BD34" i="10"/>
  <c r="AX34" i="10"/>
  <c r="AW34" i="10"/>
  <c r="AV34" i="10"/>
  <c r="AD34" i="10"/>
  <c r="BG33" i="10"/>
  <c r="BD33" i="10"/>
  <c r="AX33" i="10"/>
  <c r="AW33" i="10"/>
  <c r="AV33" i="10"/>
  <c r="AD33" i="10"/>
  <c r="BI33" i="10" s="1"/>
  <c r="BG32" i="10"/>
  <c r="BD32" i="10"/>
  <c r="AX32" i="10"/>
  <c r="AW32" i="10"/>
  <c r="AV32" i="10"/>
  <c r="AD32" i="10"/>
  <c r="BG31" i="10"/>
  <c r="BD31" i="10"/>
  <c r="AX31" i="10"/>
  <c r="AW31" i="10"/>
  <c r="AV31" i="10"/>
  <c r="AD31" i="10"/>
  <c r="BF31" i="10" s="1"/>
  <c r="BG30" i="10"/>
  <c r="BD30" i="10"/>
  <c r="AX30" i="10"/>
  <c r="AW30" i="10"/>
  <c r="AV30" i="10"/>
  <c r="AD30" i="10"/>
  <c r="BG29" i="10"/>
  <c r="BD29" i="10"/>
  <c r="AX29" i="10"/>
  <c r="AW29" i="10"/>
  <c r="AV29" i="10"/>
  <c r="AD29" i="10"/>
  <c r="BI29" i="10" s="1"/>
  <c r="BG28" i="10"/>
  <c r="BD28" i="10"/>
  <c r="AX28" i="10"/>
  <c r="AW28" i="10"/>
  <c r="AV28" i="10"/>
  <c r="AD28" i="10"/>
  <c r="BG27" i="10"/>
  <c r="BD27" i="10"/>
  <c r="AX27" i="10"/>
  <c r="AW27" i="10"/>
  <c r="AV27" i="10"/>
  <c r="AD27" i="10"/>
  <c r="BA27" i="10" s="1"/>
  <c r="BG26" i="10"/>
  <c r="BD26" i="10"/>
  <c r="AX26" i="10"/>
  <c r="AW26" i="10"/>
  <c r="AV26" i="10"/>
  <c r="AD26" i="10"/>
  <c r="BG25" i="10"/>
  <c r="BD25" i="10"/>
  <c r="AX25" i="10"/>
  <c r="AW25" i="10"/>
  <c r="AV25" i="10"/>
  <c r="AD25" i="10"/>
  <c r="BG24" i="10"/>
  <c r="BD24" i="10"/>
  <c r="AX24" i="10"/>
  <c r="AW24" i="10"/>
  <c r="AV24" i="10"/>
  <c r="AD24" i="10"/>
  <c r="BF24" i="10" s="1"/>
  <c r="BG23" i="10"/>
  <c r="BD23" i="10"/>
  <c r="AX23" i="10"/>
  <c r="AW23" i="10"/>
  <c r="AV23" i="10"/>
  <c r="AD23" i="10"/>
  <c r="AF23" i="10" s="1"/>
  <c r="AG23" i="10" s="1"/>
  <c r="BG22" i="10"/>
  <c r="BD22" i="10"/>
  <c r="AX22" i="10"/>
  <c r="AW22" i="10"/>
  <c r="AV22" i="10"/>
  <c r="AD22" i="10"/>
  <c r="BF22" i="10" s="1"/>
  <c r="BG21" i="10"/>
  <c r="BD21" i="10"/>
  <c r="AX21" i="10"/>
  <c r="AW21" i="10"/>
  <c r="AV21" i="10"/>
  <c r="AD21" i="10"/>
  <c r="BF21" i="10" s="1"/>
  <c r="BG20" i="10"/>
  <c r="BD20" i="10"/>
  <c r="AX20" i="10"/>
  <c r="AW20" i="10"/>
  <c r="AV20" i="10"/>
  <c r="AD20" i="10"/>
  <c r="BG19" i="10"/>
  <c r="BD19" i="10"/>
  <c r="AX19" i="10"/>
  <c r="AW19" i="10"/>
  <c r="AV19" i="10"/>
  <c r="AD19" i="10"/>
  <c r="BF19" i="10" s="1"/>
  <c r="BG18" i="10"/>
  <c r="BD18" i="10"/>
  <c r="AX18" i="10"/>
  <c r="AW18" i="10"/>
  <c r="AV18" i="10"/>
  <c r="AQ35" i="6"/>
  <c r="AD18" i="10"/>
  <c r="AY18" i="10" s="1"/>
  <c r="BG17" i="10"/>
  <c r="BD17" i="10"/>
  <c r="AX17" i="10"/>
  <c r="AW17" i="10"/>
  <c r="AV17" i="10"/>
  <c r="AD17" i="10"/>
  <c r="AI6" i="10"/>
  <c r="AJ6" i="10" s="1"/>
  <c r="AO6" i="10" s="1"/>
  <c r="Y15" i="1"/>
  <c r="AJ4" i="10" l="1"/>
  <c r="BI17" i="10"/>
  <c r="S148" i="10"/>
  <c r="I81" i="10"/>
  <c r="M81" i="10" s="1"/>
  <c r="S139" i="10"/>
  <c r="T142" i="10"/>
  <c r="U142" i="10" s="1"/>
  <c r="BH35" i="10"/>
  <c r="AF31" i="10"/>
  <c r="AG31" i="10" s="1"/>
  <c r="H68" i="10"/>
  <c r="L68" i="10" s="1"/>
  <c r="K70" i="10"/>
  <c r="N70" i="10" s="1"/>
  <c r="H71" i="10"/>
  <c r="L71" i="10" s="1"/>
  <c r="I74" i="10"/>
  <c r="M74" i="10" s="1"/>
  <c r="T135" i="10"/>
  <c r="U135" i="10" s="1"/>
  <c r="K66" i="10"/>
  <c r="N66" i="10" s="1"/>
  <c r="I68" i="10"/>
  <c r="M68" i="10" s="1"/>
  <c r="I71" i="10"/>
  <c r="M71" i="10" s="1"/>
  <c r="H72" i="10"/>
  <c r="L72" i="10" s="1"/>
  <c r="S135" i="10"/>
  <c r="T140" i="10"/>
  <c r="U140" i="10" s="1"/>
  <c r="I153" i="10"/>
  <c r="K153" i="10" s="1"/>
  <c r="Q153" i="10" s="1"/>
  <c r="R153" i="10" s="1"/>
  <c r="AY29" i="10"/>
  <c r="BH31" i="10"/>
  <c r="AE29" i="10"/>
  <c r="BF29" i="10"/>
  <c r="BH29" i="10" s="1"/>
  <c r="AF39" i="10"/>
  <c r="AJ39" i="10" s="1"/>
  <c r="BA39" i="10"/>
  <c r="AF29" i="10"/>
  <c r="AG29" i="10" s="1"/>
  <c r="AF35" i="10"/>
  <c r="AG35" i="10" s="1"/>
  <c r="BA35" i="10"/>
  <c r="BI31" i="10"/>
  <c r="BA19" i="10"/>
  <c r="BA31" i="10"/>
  <c r="BI43" i="10"/>
  <c r="S134" i="10"/>
  <c r="T137" i="10"/>
  <c r="U137" i="10" s="1"/>
  <c r="BA23" i="10"/>
  <c r="BA29" i="10"/>
  <c r="BH39" i="10"/>
  <c r="BI39" i="10"/>
  <c r="AF43" i="10"/>
  <c r="AG43" i="10" s="1"/>
  <c r="BA43" i="10"/>
  <c r="I59" i="10"/>
  <c r="M59" i="10" s="1"/>
  <c r="I61" i="10"/>
  <c r="M61" i="10" s="1"/>
  <c r="H62" i="10"/>
  <c r="L62" i="10" s="1"/>
  <c r="I64" i="10"/>
  <c r="M64" i="10" s="1"/>
  <c r="K74" i="10"/>
  <c r="N74" i="10" s="1"/>
  <c r="H75" i="10"/>
  <c r="L75" i="10" s="1"/>
  <c r="I78" i="10"/>
  <c r="M78" i="10" s="1"/>
  <c r="K84" i="10"/>
  <c r="N84" i="10" s="1"/>
  <c r="S130" i="10"/>
  <c r="I133" i="10"/>
  <c r="K133" i="10" s="1"/>
  <c r="Q133" i="10" s="1"/>
  <c r="R133" i="10" s="1"/>
  <c r="S133" i="10"/>
  <c r="I134" i="10"/>
  <c r="K134" i="10" s="1"/>
  <c r="Q134" i="10" s="1"/>
  <c r="R134" i="10" s="1"/>
  <c r="T134" i="10"/>
  <c r="U134" i="10" s="1"/>
  <c r="T139" i="10"/>
  <c r="U139" i="10" s="1"/>
  <c r="T141" i="10"/>
  <c r="U141" i="10" s="1"/>
  <c r="I147" i="10"/>
  <c r="K147" i="10" s="1"/>
  <c r="Q147" i="10" s="1"/>
  <c r="R147" i="10" s="1"/>
  <c r="S147" i="10"/>
  <c r="T148" i="10"/>
  <c r="U148" i="10" s="1"/>
  <c r="S150" i="10"/>
  <c r="BH19" i="10"/>
  <c r="BI35" i="10"/>
  <c r="I62" i="10"/>
  <c r="M62" i="10" s="1"/>
  <c r="I75" i="10"/>
  <c r="M75" i="10" s="1"/>
  <c r="K78" i="10"/>
  <c r="N78" i="10" s="1"/>
  <c r="H79" i="10"/>
  <c r="L79" i="10" s="1"/>
  <c r="H81" i="10"/>
  <c r="L81" i="10" s="1"/>
  <c r="T133" i="10"/>
  <c r="U133" i="10" s="1"/>
  <c r="T136" i="10"/>
  <c r="U136" i="10" s="1"/>
  <c r="S138" i="10"/>
  <c r="T147" i="10"/>
  <c r="U147" i="10" s="1"/>
  <c r="I155" i="10"/>
  <c r="K155" i="10" s="1"/>
  <c r="Q155" i="10" s="1"/>
  <c r="R155" i="10" s="1"/>
  <c r="BH21" i="10"/>
  <c r="S72" i="10"/>
  <c r="V72" i="10"/>
  <c r="BI27" i="10"/>
  <c r="BA21" i="10"/>
  <c r="BI23" i="10"/>
  <c r="BF27" i="10"/>
  <c r="BH27" i="10" s="1"/>
  <c r="AE37" i="10"/>
  <c r="AY37" i="10"/>
  <c r="BF37" i="10"/>
  <c r="BH37" i="10" s="1"/>
  <c r="AE41" i="10"/>
  <c r="AY41" i="10"/>
  <c r="BF41" i="10"/>
  <c r="BH41" i="10" s="1"/>
  <c r="I129" i="10"/>
  <c r="K129" i="10" s="1"/>
  <c r="P129" i="10" s="1"/>
  <c r="S129" i="10"/>
  <c r="I130" i="10"/>
  <c r="K130" i="10" s="1"/>
  <c r="Q130" i="10" s="1"/>
  <c r="R130" i="10" s="1"/>
  <c r="I131" i="10"/>
  <c r="K131" i="10" s="1"/>
  <c r="P131" i="10" s="1"/>
  <c r="I132" i="10"/>
  <c r="K132" i="10" s="1"/>
  <c r="Q132" i="10" s="1"/>
  <c r="R132" i="10" s="1"/>
  <c r="S132" i="10"/>
  <c r="T138" i="10"/>
  <c r="U138" i="10" s="1"/>
  <c r="I144" i="10"/>
  <c r="K144" i="10" s="1"/>
  <c r="P144" i="10" s="1"/>
  <c r="I145" i="10"/>
  <c r="K145" i="10" s="1"/>
  <c r="P145" i="10" s="1"/>
  <c r="I146" i="10"/>
  <c r="K146" i="10" s="1"/>
  <c r="Q146" i="10" s="1"/>
  <c r="R146" i="10" s="1"/>
  <c r="S146" i="10"/>
  <c r="BA25" i="10"/>
  <c r="AE25" i="10"/>
  <c r="BI25" i="10"/>
  <c r="AE33" i="10"/>
  <c r="AY33" i="10"/>
  <c r="BF33" i="10"/>
  <c r="BH33" i="10" s="1"/>
  <c r="AW44" i="10"/>
  <c r="BI19" i="10"/>
  <c r="AE21" i="10"/>
  <c r="BI21" i="10"/>
  <c r="AE23" i="10"/>
  <c r="AY23" i="10"/>
  <c r="BF23" i="10"/>
  <c r="BH23" i="10" s="1"/>
  <c r="AF25" i="10"/>
  <c r="AU25" i="10" s="1"/>
  <c r="AY25" i="10"/>
  <c r="BF25" i="10"/>
  <c r="BH25" i="10" s="1"/>
  <c r="AF27" i="10"/>
  <c r="AJ27" i="10" s="1"/>
  <c r="AF33" i="10"/>
  <c r="AG33" i="10" s="1"/>
  <c r="AF37" i="10"/>
  <c r="AG37" i="10" s="1"/>
  <c r="AF41" i="10"/>
  <c r="AG41" i="10" s="1"/>
  <c r="H67" i="10"/>
  <c r="L67" i="10" s="1"/>
  <c r="H76" i="10"/>
  <c r="L76" i="10" s="1"/>
  <c r="H82" i="10"/>
  <c r="L82" i="10" s="1"/>
  <c r="T129" i="10"/>
  <c r="S131" i="10"/>
  <c r="T132" i="10"/>
  <c r="U132" i="10" s="1"/>
  <c r="I137" i="10"/>
  <c r="K137" i="10" s="1"/>
  <c r="Q137" i="10" s="1"/>
  <c r="R137" i="10" s="1"/>
  <c r="I141" i="10"/>
  <c r="K141" i="10" s="1"/>
  <c r="P141" i="10" s="1"/>
  <c r="I143" i="10"/>
  <c r="K143" i="10" s="1"/>
  <c r="P143" i="10" s="1"/>
  <c r="S143" i="10"/>
  <c r="S144" i="10"/>
  <c r="S145" i="10"/>
  <c r="T146" i="10"/>
  <c r="U146" i="10" s="1"/>
  <c r="I150" i="10"/>
  <c r="K150" i="10" s="1"/>
  <c r="P150" i="10" s="1"/>
  <c r="L150" i="10"/>
  <c r="I151" i="10"/>
  <c r="K151" i="10" s="1"/>
  <c r="P151" i="10" s="1"/>
  <c r="L151" i="10"/>
  <c r="I154" i="10"/>
  <c r="K154" i="10" s="1"/>
  <c r="Q154" i="10" s="1"/>
  <c r="R154" i="10" s="1"/>
  <c r="M154" i="10"/>
  <c r="N154" i="10" s="1"/>
  <c r="AJ7" i="10"/>
  <c r="AO7" i="10" s="1"/>
  <c r="BB40" i="10" s="1"/>
  <c r="AE27" i="10"/>
  <c r="AY27" i="10"/>
  <c r="AS45" i="10"/>
  <c r="AX44" i="10"/>
  <c r="AE19" i="10"/>
  <c r="AY19" i="10"/>
  <c r="AY21" i="10"/>
  <c r="AE31" i="10"/>
  <c r="AY31" i="10"/>
  <c r="BA33" i="10"/>
  <c r="AE35" i="10"/>
  <c r="AY35" i="10"/>
  <c r="BA37" i="10"/>
  <c r="AE39" i="10"/>
  <c r="AY39" i="10"/>
  <c r="BA41" i="10"/>
  <c r="BH43" i="10"/>
  <c r="H59" i="10"/>
  <c r="L59" i="10" s="1"/>
  <c r="H63" i="10"/>
  <c r="L63" i="10" s="1"/>
  <c r="H64" i="10"/>
  <c r="L64" i="10" s="1"/>
  <c r="I67" i="10"/>
  <c r="M67" i="10" s="1"/>
  <c r="I70" i="10"/>
  <c r="M70" i="10" s="1"/>
  <c r="I84" i="10"/>
  <c r="M84" i="10" s="1"/>
  <c r="T130" i="10"/>
  <c r="U130" i="10" s="1"/>
  <c r="T131" i="10"/>
  <c r="U131" i="10" s="1"/>
  <c r="I135" i="10"/>
  <c r="K135" i="10" s="1"/>
  <c r="P135" i="10" s="1"/>
  <c r="I136" i="10"/>
  <c r="K136" i="10" s="1"/>
  <c r="Q136" i="10" s="1"/>
  <c r="R136" i="10" s="1"/>
  <c r="S136" i="10"/>
  <c r="S137" i="10"/>
  <c r="I138" i="10"/>
  <c r="K138" i="10" s="1"/>
  <c r="Q138" i="10" s="1"/>
  <c r="R138" i="10" s="1"/>
  <c r="I139" i="10"/>
  <c r="K139" i="10" s="1"/>
  <c r="P139" i="10" s="1"/>
  <c r="I140" i="10"/>
  <c r="K140" i="10" s="1"/>
  <c r="Q140" i="10" s="1"/>
  <c r="R140" i="10" s="1"/>
  <c r="S140" i="10"/>
  <c r="S141" i="10"/>
  <c r="I142" i="10"/>
  <c r="K142" i="10" s="1"/>
  <c r="Q142" i="10" s="1"/>
  <c r="R142" i="10" s="1"/>
  <c r="S142" i="10"/>
  <c r="T143" i="10"/>
  <c r="U143" i="10" s="1"/>
  <c r="T144" i="10"/>
  <c r="U144" i="10" s="1"/>
  <c r="T145" i="10"/>
  <c r="U145" i="10" s="1"/>
  <c r="I148" i="10"/>
  <c r="K148" i="10" s="1"/>
  <c r="P148" i="10" s="1"/>
  <c r="I149" i="10"/>
  <c r="K149" i="10" s="1"/>
  <c r="Q149" i="10" s="1"/>
  <c r="R149" i="10" s="1"/>
  <c r="S149" i="10"/>
  <c r="M150" i="10"/>
  <c r="N150" i="10" s="1"/>
  <c r="I152" i="10"/>
  <c r="K152" i="10" s="1"/>
  <c r="Q152" i="10" s="1"/>
  <c r="R152" i="10" s="1"/>
  <c r="U77" i="10"/>
  <c r="S66" i="10"/>
  <c r="S69" i="10"/>
  <c r="S73" i="10"/>
  <c r="V79" i="10"/>
  <c r="V76" i="10"/>
  <c r="U79" i="10"/>
  <c r="H58" i="10"/>
  <c r="L58" i="10" s="1"/>
  <c r="I58" i="10"/>
  <c r="M58" i="10" s="1"/>
  <c r="AE17" i="10"/>
  <c r="BF17" i="10"/>
  <c r="BH17" i="10" s="1"/>
  <c r="AY17" i="10"/>
  <c r="BA17" i="10"/>
  <c r="BC41" i="10"/>
  <c r="BC39" i="10"/>
  <c r="BC37" i="10"/>
  <c r="BC35" i="10"/>
  <c r="BC33" i="10"/>
  <c r="BC31" i="10"/>
  <c r="BC29" i="10"/>
  <c r="BC27" i="10"/>
  <c r="BC23" i="10"/>
  <c r="BC21" i="10"/>
  <c r="BC25" i="10"/>
  <c r="BC17" i="10"/>
  <c r="BC19" i="10"/>
  <c r="BC18" i="10"/>
  <c r="BI20" i="10"/>
  <c r="BI18" i="10"/>
  <c r="AE20" i="10"/>
  <c r="BF20" i="10"/>
  <c r="BH20" i="10" s="1"/>
  <c r="BA20" i="10"/>
  <c r="BF36" i="10"/>
  <c r="BH36" i="10" s="1"/>
  <c r="BA36" i="10"/>
  <c r="BI36" i="10"/>
  <c r="AF36" i="10"/>
  <c r="AU36" i="10" s="1"/>
  <c r="BC36" i="10"/>
  <c r="AY36" i="10"/>
  <c r="AE36" i="10"/>
  <c r="S82" i="10"/>
  <c r="V82" i="10"/>
  <c r="U82" i="10"/>
  <c r="Q82" i="10"/>
  <c r="BD44" i="10"/>
  <c r="AE18" i="10"/>
  <c r="BA18" i="10"/>
  <c r="BF18" i="10"/>
  <c r="BH18" i="10" s="1"/>
  <c r="AJ23" i="10"/>
  <c r="BF34" i="10"/>
  <c r="BH34" i="10" s="1"/>
  <c r="BA34" i="10"/>
  <c r="BI34" i="10"/>
  <c r="AF34" i="10"/>
  <c r="AP34" i="10" s="1"/>
  <c r="BC34" i="10"/>
  <c r="AY34" i="10"/>
  <c r="AE34" i="10"/>
  <c r="BF42" i="10"/>
  <c r="BH42" i="10" s="1"/>
  <c r="BA42" i="10"/>
  <c r="BI42" i="10"/>
  <c r="AF42" i="10"/>
  <c r="AU42" i="10" s="1"/>
  <c r="BC42" i="10"/>
  <c r="AY42" i="10"/>
  <c r="AE42" i="10"/>
  <c r="I60" i="10"/>
  <c r="M60" i="10" s="1"/>
  <c r="H60" i="10"/>
  <c r="L60" i="10" s="1"/>
  <c r="S68" i="10"/>
  <c r="U68" i="10"/>
  <c r="Q68" i="10"/>
  <c r="L155" i="10"/>
  <c r="T155" i="10"/>
  <c r="U155" i="10" s="1"/>
  <c r="M155" i="10"/>
  <c r="N155" i="10" s="1"/>
  <c r="S155" i="10"/>
  <c r="AT45" i="10"/>
  <c r="I65" i="10"/>
  <c r="M65" i="10" s="1"/>
  <c r="H65" i="10"/>
  <c r="L65" i="10" s="1"/>
  <c r="K65" i="10"/>
  <c r="N65" i="10" s="1"/>
  <c r="V80" i="10"/>
  <c r="Q80" i="10"/>
  <c r="U80" i="10"/>
  <c r="S80" i="10"/>
  <c r="AV44" i="10"/>
  <c r="AZ44" i="10"/>
  <c r="AY20" i="10"/>
  <c r="BC20" i="10"/>
  <c r="BI22" i="10"/>
  <c r="BC22" i="10"/>
  <c r="AY22" i="10"/>
  <c r="AE22" i="10"/>
  <c r="BA22" i="10"/>
  <c r="BH22" i="10"/>
  <c r="AM23" i="10"/>
  <c r="BI24" i="10"/>
  <c r="AF24" i="10"/>
  <c r="AU24" i="10" s="1"/>
  <c r="BC24" i="10"/>
  <c r="AY24" i="10"/>
  <c r="AE24" i="10"/>
  <c r="BA24" i="10"/>
  <c r="BH24" i="10"/>
  <c r="BF32" i="10"/>
  <c r="BH32" i="10" s="1"/>
  <c r="BA32" i="10"/>
  <c r="BI32" i="10"/>
  <c r="AF32" i="10"/>
  <c r="AM32" i="10" s="1"/>
  <c r="BC32" i="10"/>
  <c r="AY32" i="10"/>
  <c r="AE32" i="10"/>
  <c r="BF40" i="10"/>
  <c r="BH40" i="10" s="1"/>
  <c r="BA40" i="10"/>
  <c r="BI40" i="10"/>
  <c r="AF40" i="10"/>
  <c r="AP40" i="10" s="1"/>
  <c r="BC40" i="10"/>
  <c r="AY40" i="10"/>
  <c r="AE40" i="10"/>
  <c r="V84" i="10"/>
  <c r="Q84" i="10"/>
  <c r="U84" i="10"/>
  <c r="S84" i="10"/>
  <c r="AU23" i="10"/>
  <c r="BF26" i="10"/>
  <c r="BH26" i="10" s="1"/>
  <c r="BA26" i="10"/>
  <c r="BI26" i="10"/>
  <c r="AF26" i="10"/>
  <c r="BC26" i="10"/>
  <c r="AY26" i="10"/>
  <c r="AE26" i="10"/>
  <c r="BF28" i="10"/>
  <c r="BH28" i="10" s="1"/>
  <c r="BA28" i="10"/>
  <c r="BI28" i="10"/>
  <c r="AF28" i="10"/>
  <c r="AP28" i="10" s="1"/>
  <c r="AT28" i="10" s="1"/>
  <c r="BC28" i="10"/>
  <c r="AY28" i="10"/>
  <c r="AE28" i="10"/>
  <c r="BF30" i="10"/>
  <c r="BH30" i="10" s="1"/>
  <c r="BA30" i="10"/>
  <c r="BI30" i="10"/>
  <c r="AF30" i="10"/>
  <c r="AP30" i="10" s="1"/>
  <c r="BC30" i="10"/>
  <c r="AY30" i="10"/>
  <c r="AE30" i="10"/>
  <c r="BF38" i="10"/>
  <c r="BH38" i="10" s="1"/>
  <c r="BA38" i="10"/>
  <c r="BI38" i="10"/>
  <c r="AF38" i="10"/>
  <c r="AP38" i="10" s="1"/>
  <c r="AT38" i="10" s="1"/>
  <c r="BC38" i="10"/>
  <c r="AY38" i="10"/>
  <c r="AE38" i="10"/>
  <c r="BC43" i="10"/>
  <c r="S64" i="10"/>
  <c r="V64" i="10"/>
  <c r="U64" i="10"/>
  <c r="AD44" i="10"/>
  <c r="K61" i="10"/>
  <c r="N61" i="10" s="1"/>
  <c r="O61" i="10" s="1"/>
  <c r="R61" i="10" s="1"/>
  <c r="V65" i="10"/>
  <c r="Q65" i="10"/>
  <c r="V70" i="10"/>
  <c r="Q70" i="10"/>
  <c r="U70" i="10"/>
  <c r="V74" i="10"/>
  <c r="Q74" i="10"/>
  <c r="U74" i="10"/>
  <c r="V78" i="10"/>
  <c r="Q78" i="10"/>
  <c r="U78" i="10"/>
  <c r="I83" i="10"/>
  <c r="M83" i="10" s="1"/>
  <c r="H83" i="10"/>
  <c r="L83" i="10" s="1"/>
  <c r="T152" i="10"/>
  <c r="U152" i="10" s="1"/>
  <c r="S152" i="10"/>
  <c r="M152" i="10"/>
  <c r="N152" i="10" s="1"/>
  <c r="L152" i="10"/>
  <c r="AP23" i="10"/>
  <c r="AT23" i="10" s="1"/>
  <c r="I63" i="10"/>
  <c r="M63" i="10" s="1"/>
  <c r="S65" i="10"/>
  <c r="U67" i="10"/>
  <c r="S67" i="10"/>
  <c r="Q67" i="10"/>
  <c r="I69" i="10"/>
  <c r="M69" i="10" s="1"/>
  <c r="H69" i="10"/>
  <c r="L69" i="10" s="1"/>
  <c r="S70" i="10"/>
  <c r="Q72" i="10"/>
  <c r="I73" i="10"/>
  <c r="M73" i="10" s="1"/>
  <c r="H73" i="10"/>
  <c r="L73" i="10" s="1"/>
  <c r="S74" i="10"/>
  <c r="Q76" i="10"/>
  <c r="I77" i="10"/>
  <c r="M77" i="10" s="1"/>
  <c r="H77" i="10"/>
  <c r="L77" i="10" s="1"/>
  <c r="S78" i="10"/>
  <c r="U81" i="10"/>
  <c r="S81" i="10"/>
  <c r="Q81" i="10"/>
  <c r="V83" i="10"/>
  <c r="Q83" i="10"/>
  <c r="AE43" i="10"/>
  <c r="AY43" i="10"/>
  <c r="U65" i="10"/>
  <c r="I66" i="10"/>
  <c r="M66" i="10" s="1"/>
  <c r="V69" i="10"/>
  <c r="Q69" i="10"/>
  <c r="U71" i="10"/>
  <c r="S71" i="10"/>
  <c r="Q71" i="10"/>
  <c r="U72" i="10"/>
  <c r="V73" i="10"/>
  <c r="Q73" i="10"/>
  <c r="U75" i="10"/>
  <c r="S75" i="10"/>
  <c r="Q75" i="10"/>
  <c r="U76" i="10"/>
  <c r="V77" i="10"/>
  <c r="Q77" i="10"/>
  <c r="Q79" i="10"/>
  <c r="I80" i="10"/>
  <c r="M80" i="10" s="1"/>
  <c r="H80" i="10"/>
  <c r="L80" i="10" s="1"/>
  <c r="K83" i="10"/>
  <c r="N83" i="10" s="1"/>
  <c r="S83" i="10"/>
  <c r="L153" i="10"/>
  <c r="T153" i="10"/>
  <c r="U153" i="10" s="1"/>
  <c r="M153" i="10"/>
  <c r="N153" i="10" s="1"/>
  <c r="S153" i="10"/>
  <c r="U66" i="10"/>
  <c r="I72" i="10"/>
  <c r="M72" i="10" s="1"/>
  <c r="I76" i="10"/>
  <c r="M76" i="10" s="1"/>
  <c r="O76" i="10" s="1"/>
  <c r="R76" i="10" s="1"/>
  <c r="I79" i="10"/>
  <c r="M79" i="10" s="1"/>
  <c r="I82" i="10"/>
  <c r="M82" i="10" s="1"/>
  <c r="L129" i="10"/>
  <c r="L130" i="10"/>
  <c r="L131" i="10"/>
  <c r="L132" i="10"/>
  <c r="L133" i="10"/>
  <c r="L134" i="10"/>
  <c r="L135" i="10"/>
  <c r="L136" i="10"/>
  <c r="L137" i="10"/>
  <c r="L138" i="10"/>
  <c r="L139" i="10"/>
  <c r="L140" i="10"/>
  <c r="L141" i="10"/>
  <c r="L142" i="10"/>
  <c r="L143" i="10"/>
  <c r="L144" i="10"/>
  <c r="L145" i="10"/>
  <c r="L146" i="10"/>
  <c r="L147" i="10"/>
  <c r="L148" i="10"/>
  <c r="L149" i="10"/>
  <c r="M151" i="10"/>
  <c r="N151" i="10" s="1"/>
  <c r="S151" i="10"/>
  <c r="L154" i="10"/>
  <c r="T154" i="10"/>
  <c r="U154" i="10" s="1"/>
  <c r="Q66" i="10"/>
  <c r="M149" i="10"/>
  <c r="N149" i="10" s="1"/>
  <c r="O84" i="10" l="1"/>
  <c r="R84" i="10" s="1"/>
  <c r="P147" i="10"/>
  <c r="P153" i="10"/>
  <c r="P154" i="10"/>
  <c r="P133" i="10"/>
  <c r="AM39" i="10"/>
  <c r="AP27" i="10"/>
  <c r="AT27" i="10" s="1"/>
  <c r="AU39" i="10"/>
  <c r="AM35" i="10"/>
  <c r="AP31" i="10"/>
  <c r="AT31" i="10" s="1"/>
  <c r="AM41" i="10"/>
  <c r="AJ35" i="10"/>
  <c r="AP41" i="10"/>
  <c r="AT41" i="10" s="1"/>
  <c r="AU35" i="10"/>
  <c r="AP35" i="10"/>
  <c r="AT35" i="10" s="1"/>
  <c r="AJ41" i="10"/>
  <c r="AM29" i="10"/>
  <c r="AP39" i="10"/>
  <c r="AT39" i="10" s="1"/>
  <c r="U129" i="10"/>
  <c r="U156" i="10" s="1"/>
  <c r="AJ31" i="10"/>
  <c r="AM31" i="10"/>
  <c r="AF20" i="10"/>
  <c r="AP20" i="10" s="1"/>
  <c r="AT20" i="10" s="1"/>
  <c r="P61" i="10"/>
  <c r="AU27" i="10"/>
  <c r="BB20" i="10"/>
  <c r="BB38" i="10"/>
  <c r="BK38" i="10" s="1"/>
  <c r="O64" i="10"/>
  <c r="R64" i="10" s="1"/>
  <c r="BB17" i="10"/>
  <c r="BB25" i="10"/>
  <c r="O70" i="10"/>
  <c r="R70" i="10" s="1"/>
  <c r="O79" i="10"/>
  <c r="R79" i="10" s="1"/>
  <c r="AU31" i="10"/>
  <c r="AJ37" i="10"/>
  <c r="O66" i="10"/>
  <c r="R66" i="10" s="1"/>
  <c r="AP25" i="10"/>
  <c r="AT25" i="10" s="1"/>
  <c r="Q129" i="10"/>
  <c r="R129" i="10" s="1"/>
  <c r="P152" i="10"/>
  <c r="AJ33" i="10"/>
  <c r="O81" i="10"/>
  <c r="R81" i="10" s="1"/>
  <c r="W81" i="10" s="1"/>
  <c r="Q151" i="10"/>
  <c r="R151" i="10" s="1"/>
  <c r="Q144" i="10"/>
  <c r="R144" i="10" s="1"/>
  <c r="P134" i="10"/>
  <c r="O74" i="10"/>
  <c r="R74" i="10" s="1"/>
  <c r="O68" i="10"/>
  <c r="R68" i="10" s="1"/>
  <c r="W68" i="10" s="1"/>
  <c r="AM38" i="10"/>
  <c r="AJ29" i="10"/>
  <c r="AP33" i="10"/>
  <c r="AT33" i="10" s="1"/>
  <c r="AU38" i="10"/>
  <c r="O72" i="10"/>
  <c r="R72" i="10" s="1"/>
  <c r="W72" i="10" s="1"/>
  <c r="AU29" i="10"/>
  <c r="AG25" i="10"/>
  <c r="AM33" i="10"/>
  <c r="AP29" i="10"/>
  <c r="AT29" i="10" s="1"/>
  <c r="AJ25" i="10"/>
  <c r="AU33" i="10"/>
  <c r="Q148" i="10"/>
  <c r="R148" i="10" s="1"/>
  <c r="O59" i="10"/>
  <c r="O75" i="10"/>
  <c r="R75" i="10" s="1"/>
  <c r="W75" i="10" s="1"/>
  <c r="O78" i="10"/>
  <c r="R78" i="10" s="1"/>
  <c r="W78" i="10" s="1"/>
  <c r="O62" i="10"/>
  <c r="O71" i="10"/>
  <c r="R71" i="10" s="1"/>
  <c r="Q143" i="10"/>
  <c r="R143" i="10" s="1"/>
  <c r="Q145" i="10"/>
  <c r="R145" i="10" s="1"/>
  <c r="O67" i="10"/>
  <c r="R67" i="10" s="1"/>
  <c r="W67" i="10" s="1"/>
  <c r="AM43" i="10"/>
  <c r="AG39" i="10"/>
  <c r="AU41" i="10"/>
  <c r="P130" i="10"/>
  <c r="AM42" i="10"/>
  <c r="P138" i="10"/>
  <c r="BB24" i="10"/>
  <c r="O82" i="10"/>
  <c r="R82" i="10" s="1"/>
  <c r="W82" i="10" s="1"/>
  <c r="AP43" i="10"/>
  <c r="AT43" i="10" s="1"/>
  <c r="Q135" i="10"/>
  <c r="R135" i="10" s="1"/>
  <c r="BB21" i="10"/>
  <c r="BB36" i="10"/>
  <c r="BB31" i="10"/>
  <c r="AJ43" i="10"/>
  <c r="Q141" i="10"/>
  <c r="R141" i="10" s="1"/>
  <c r="P137" i="10"/>
  <c r="AU43" i="10"/>
  <c r="AM30" i="10"/>
  <c r="AM28" i="10"/>
  <c r="AM37" i="10"/>
  <c r="P149" i="10"/>
  <c r="Q150" i="10"/>
  <c r="R150" i="10" s="1"/>
  <c r="P146" i="10"/>
  <c r="P155" i="10"/>
  <c r="AU37" i="10"/>
  <c r="AM25" i="10"/>
  <c r="AP37" i="10"/>
  <c r="AT37" i="10" s="1"/>
  <c r="P132" i="10"/>
  <c r="P140" i="10"/>
  <c r="P136" i="10"/>
  <c r="AM27" i="10"/>
  <c r="Q131" i="10"/>
  <c r="R131" i="10" s="1"/>
  <c r="Q139" i="10"/>
  <c r="R139" i="10" s="1"/>
  <c r="BB41" i="10"/>
  <c r="BB33" i="10"/>
  <c r="BB30" i="10"/>
  <c r="BB22" i="10"/>
  <c r="O58" i="10"/>
  <c r="AF17" i="10" s="1"/>
  <c r="P34" i="6" s="1"/>
  <c r="Q34" i="6" s="1"/>
  <c r="N156" i="10"/>
  <c r="T156" i="10"/>
  <c r="O63" i="10"/>
  <c r="AG27" i="10"/>
  <c r="AM24" i="10"/>
  <c r="BB39" i="10"/>
  <c r="BB29" i="10"/>
  <c r="P142" i="10"/>
  <c r="BB26" i="10"/>
  <c r="BB34" i="10"/>
  <c r="BB32" i="10"/>
  <c r="BB43" i="10"/>
  <c r="BB35" i="10"/>
  <c r="BB37" i="10"/>
  <c r="BB18" i="10"/>
  <c r="BB27" i="10"/>
  <c r="BB23" i="10"/>
  <c r="BK23" i="10" s="1"/>
  <c r="BB19" i="10"/>
  <c r="BB28" i="10"/>
  <c r="BK28" i="10" s="1"/>
  <c r="BB42" i="10"/>
  <c r="AU28" i="10"/>
  <c r="W64" i="10"/>
  <c r="O80" i="10"/>
  <c r="R80" i="10" s="1"/>
  <c r="W80" i="10" s="1"/>
  <c r="AY44" i="10"/>
  <c r="AM34" i="10"/>
  <c r="BI44" i="10"/>
  <c r="O77" i="10"/>
  <c r="R77" i="10" s="1"/>
  <c r="W77" i="10" s="1"/>
  <c r="O73" i="10"/>
  <c r="R73" i="10" s="1"/>
  <c r="W73" i="10" s="1"/>
  <c r="O69" i="10"/>
  <c r="R69" i="10" s="1"/>
  <c r="W69" i="10" s="1"/>
  <c r="BA44" i="10"/>
  <c r="BH44" i="10"/>
  <c r="AG26" i="10"/>
  <c r="AJ26" i="10"/>
  <c r="AM40" i="10"/>
  <c r="AG32" i="10"/>
  <c r="AJ32" i="10"/>
  <c r="AE44" i="10"/>
  <c r="AG36" i="10"/>
  <c r="AJ36" i="10"/>
  <c r="W66" i="10"/>
  <c r="O83" i="10"/>
  <c r="R83" i="10" s="1"/>
  <c r="W83" i="10" s="1"/>
  <c r="W79" i="10"/>
  <c r="AG38" i="10"/>
  <c r="AJ38" i="10"/>
  <c r="AG28" i="10"/>
  <c r="AJ28" i="10"/>
  <c r="AU26" i="10"/>
  <c r="AT40" i="10"/>
  <c r="BK40" i="10" s="1"/>
  <c r="AU40" i="10"/>
  <c r="AU32" i="10"/>
  <c r="AJ24" i="10"/>
  <c r="AG24" i="10"/>
  <c r="O60" i="10"/>
  <c r="AG42" i="10"/>
  <c r="AJ42" i="10"/>
  <c r="AM36" i="10"/>
  <c r="W70" i="10"/>
  <c r="AG30" i="10"/>
  <c r="AJ30" i="10"/>
  <c r="AP26" i="10"/>
  <c r="AT26" i="10" s="1"/>
  <c r="AP32" i="10"/>
  <c r="AT32" i="10" s="1"/>
  <c r="O65" i="10"/>
  <c r="R65" i="10" s="1"/>
  <c r="W65" i="10" s="1"/>
  <c r="AG34" i="10"/>
  <c r="AJ34" i="10"/>
  <c r="AP36" i="10"/>
  <c r="BD45" i="10"/>
  <c r="AM26" i="10"/>
  <c r="AG40" i="10"/>
  <c r="AJ40" i="10"/>
  <c r="M156" i="10"/>
  <c r="W71" i="10"/>
  <c r="W76" i="10"/>
  <c r="W74" i="10"/>
  <c r="AT30" i="10"/>
  <c r="AU30" i="10"/>
  <c r="W84" i="10"/>
  <c r="AP42" i="10"/>
  <c r="AT42" i="10" s="1"/>
  <c r="AT34" i="10"/>
  <c r="AU34" i="10"/>
  <c r="AP24" i="10"/>
  <c r="AT24" i="10" s="1"/>
  <c r="BK27" i="10" l="1"/>
  <c r="BK31" i="10"/>
  <c r="AJ20" i="10"/>
  <c r="BK39" i="10"/>
  <c r="AG20" i="10"/>
  <c r="BK41" i="10"/>
  <c r="BK35" i="10"/>
  <c r="BK25" i="10"/>
  <c r="BK20" i="10"/>
  <c r="AU20" i="10"/>
  <c r="AM20" i="10"/>
  <c r="R63" i="10"/>
  <c r="P63" i="10"/>
  <c r="AF22" i="10"/>
  <c r="R62" i="10"/>
  <c r="P62" i="10"/>
  <c r="AF21" i="10"/>
  <c r="V61" i="10"/>
  <c r="Q61" i="10"/>
  <c r="U61" i="10"/>
  <c r="S61" i="10"/>
  <c r="BK29" i="10"/>
  <c r="P58" i="10"/>
  <c r="U58" i="10" s="1"/>
  <c r="BK43" i="10"/>
  <c r="R60" i="10"/>
  <c r="P60" i="10"/>
  <c r="AF19" i="10"/>
  <c r="R59" i="10"/>
  <c r="P59" i="10"/>
  <c r="AF18" i="10"/>
  <c r="R58" i="10"/>
  <c r="BK24" i="10"/>
  <c r="BK34" i="10"/>
  <c r="BC45" i="10"/>
  <c r="BK30" i="10"/>
  <c r="BK33" i="10"/>
  <c r="BK32" i="10"/>
  <c r="BK37" i="10"/>
  <c r="AP17" i="10"/>
  <c r="R156" i="10"/>
  <c r="AM17" i="10"/>
  <c r="Q156" i="10"/>
  <c r="BK42" i="10"/>
  <c r="AU17" i="10"/>
  <c r="AG17" i="10"/>
  <c r="AJ17" i="10"/>
  <c r="BK26" i="10"/>
  <c r="AT36" i="10"/>
  <c r="BK36" i="10" s="1"/>
  <c r="AT17" i="10" l="1"/>
  <c r="Q58" i="10"/>
  <c r="AP22" i="10"/>
  <c r="AT22" i="10" s="1"/>
  <c r="BK22" i="10" s="1"/>
  <c r="AM22" i="10"/>
  <c r="AJ22" i="10"/>
  <c r="AU22" i="10"/>
  <c r="AG22" i="10"/>
  <c r="U63" i="10"/>
  <c r="S63" i="10"/>
  <c r="V63" i="10"/>
  <c r="Q63" i="10"/>
  <c r="AG21" i="10"/>
  <c r="AP21" i="10"/>
  <c r="AT21" i="10" s="1"/>
  <c r="BK21" i="10" s="1"/>
  <c r="AU21" i="10"/>
  <c r="AM21" i="10"/>
  <c r="AJ21" i="10"/>
  <c r="Q62" i="10"/>
  <c r="V62" i="10"/>
  <c r="U62" i="10"/>
  <c r="S62" i="10"/>
  <c r="W61" i="10"/>
  <c r="V58" i="10"/>
  <c r="S58" i="10"/>
  <c r="R85" i="10"/>
  <c r="AP18" i="10"/>
  <c r="AJ18" i="10"/>
  <c r="AG18" i="10"/>
  <c r="AU18" i="10"/>
  <c r="AM18" i="10"/>
  <c r="AM19" i="10"/>
  <c r="AJ19" i="10"/>
  <c r="AP19" i="10"/>
  <c r="AT19" i="10" s="1"/>
  <c r="BK19" i="10" s="1"/>
  <c r="AG19" i="10"/>
  <c r="AU19" i="10"/>
  <c r="U59" i="10"/>
  <c r="Q59" i="10"/>
  <c r="S59" i="10"/>
  <c r="V59" i="10"/>
  <c r="V60" i="10"/>
  <c r="U60" i="10"/>
  <c r="Q60" i="10"/>
  <c r="S60" i="10"/>
  <c r="N51" i="2"/>
  <c r="N50" i="2"/>
  <c r="N49" i="2"/>
  <c r="N48" i="2"/>
  <c r="N47" i="2"/>
  <c r="N46" i="2"/>
  <c r="N45" i="2"/>
  <c r="N44" i="2"/>
  <c r="N43" i="2"/>
  <c r="N42" i="2"/>
  <c r="N41" i="2"/>
  <c r="N40" i="2"/>
  <c r="D40" i="2"/>
  <c r="F40" i="2" s="1"/>
  <c r="Y16" i="1"/>
  <c r="AK24" i="10" l="1"/>
  <c r="AL24" i="10" s="1"/>
  <c r="AH17" i="10"/>
  <c r="AH18" i="10"/>
  <c r="AI18" i="10" s="1"/>
  <c r="W62" i="10"/>
  <c r="W58" i="10"/>
  <c r="W63" i="10"/>
  <c r="W59" i="10"/>
  <c r="Q85" i="10"/>
  <c r="U85" i="10"/>
  <c r="AH24" i="10"/>
  <c r="AI24" i="10" s="1"/>
  <c r="AU44" i="10"/>
  <c r="AH23" i="10"/>
  <c r="AI23" i="10" s="1"/>
  <c r="AK19" i="10"/>
  <c r="AL19" i="10" s="1"/>
  <c r="AH21" i="10"/>
  <c r="AI21" i="10" s="1"/>
  <c r="V85" i="10"/>
  <c r="AH20" i="10"/>
  <c r="AI20" i="10" s="1"/>
  <c r="S85" i="10"/>
  <c r="AM44" i="10"/>
  <c r="AK23" i="10"/>
  <c r="AL23" i="10" s="1"/>
  <c r="AK18" i="10"/>
  <c r="AL18" i="10" s="1"/>
  <c r="AK17" i="10"/>
  <c r="AK22" i="10"/>
  <c r="AL22" i="10" s="1"/>
  <c r="AK20" i="10"/>
  <c r="AL20" i="10" s="1"/>
  <c r="AK21" i="10"/>
  <c r="AL21" i="10" s="1"/>
  <c r="AH22" i="10"/>
  <c r="AI22" i="10" s="1"/>
  <c r="W60" i="10"/>
  <c r="AT18" i="10"/>
  <c r="AP44" i="10"/>
  <c r="AH19" i="10"/>
  <c r="AI19" i="10" s="1"/>
  <c r="C36" i="3"/>
  <c r="AI17" i="10" l="1"/>
  <c r="AI44" i="10" s="1"/>
  <c r="AL17" i="10"/>
  <c r="W85" i="10"/>
  <c r="T85" i="10"/>
  <c r="BK18" i="10"/>
  <c r="AU45" i="10"/>
  <c r="O6" i="6"/>
  <c r="O7" i="6"/>
  <c r="O8" i="6"/>
  <c r="O9" i="6"/>
  <c r="O10" i="6"/>
  <c r="O11" i="6"/>
  <c r="O12" i="6"/>
  <c r="O13" i="6"/>
  <c r="O14" i="6"/>
  <c r="O15" i="6"/>
  <c r="O16" i="6"/>
  <c r="O17" i="6"/>
  <c r="O18" i="6"/>
  <c r="O19" i="6"/>
  <c r="O20" i="6"/>
  <c r="O21" i="6"/>
  <c r="O22" i="6"/>
  <c r="O23" i="6"/>
  <c r="O24" i="6"/>
  <c r="O25" i="6"/>
  <c r="O26" i="6"/>
  <c r="O27" i="6"/>
  <c r="AM45" i="10" l="1"/>
  <c r="AL44" i="10"/>
  <c r="AJ45" i="10"/>
  <c r="H4" i="6"/>
  <c r="H12" i="6"/>
  <c r="H13" i="6"/>
  <c r="H14" i="6"/>
  <c r="H15" i="6"/>
  <c r="H16" i="6"/>
  <c r="H17" i="6"/>
  <c r="H18" i="6"/>
  <c r="H19" i="6"/>
  <c r="H20" i="6"/>
  <c r="H21" i="6"/>
  <c r="H22" i="6"/>
  <c r="H23" i="6"/>
  <c r="H24" i="6"/>
  <c r="H25" i="6"/>
  <c r="H26" i="6"/>
  <c r="H27" i="6"/>
  <c r="H28" i="6"/>
  <c r="H29" i="6"/>
  <c r="H30" i="6"/>
  <c r="H7" i="6"/>
  <c r="H8" i="6"/>
  <c r="H9" i="6"/>
  <c r="H10" i="6"/>
  <c r="H11" i="6"/>
  <c r="H5" i="6"/>
  <c r="H6" i="6"/>
  <c r="O4" i="6"/>
  <c r="O5" i="6"/>
  <c r="O28" i="6"/>
  <c r="O29" i="6"/>
  <c r="O30" i="6"/>
  <c r="B18" i="6"/>
  <c r="C18" i="6"/>
  <c r="B19" i="6"/>
  <c r="C19" i="6"/>
  <c r="B20" i="6"/>
  <c r="C20" i="6"/>
  <c r="B21" i="6"/>
  <c r="C21" i="6"/>
  <c r="B22" i="6"/>
  <c r="C22" i="6"/>
  <c r="B23" i="6"/>
  <c r="C23" i="6"/>
  <c r="B24" i="6"/>
  <c r="C24" i="6"/>
  <c r="B25" i="6"/>
  <c r="C25" i="6"/>
  <c r="B26" i="6"/>
  <c r="C26" i="6"/>
  <c r="B27" i="6"/>
  <c r="C27" i="6"/>
  <c r="B28" i="6"/>
  <c r="C28" i="6"/>
  <c r="B29" i="6"/>
  <c r="C29" i="6"/>
  <c r="B30" i="6"/>
  <c r="C30" i="6"/>
  <c r="B4" i="6"/>
  <c r="B5" i="6"/>
  <c r="B6" i="6"/>
  <c r="B7" i="6"/>
  <c r="B8" i="6"/>
  <c r="B9" i="6"/>
  <c r="B10" i="6"/>
  <c r="B11" i="6"/>
  <c r="B12" i="6"/>
  <c r="B13" i="6"/>
  <c r="B14" i="6"/>
  <c r="B15" i="6"/>
  <c r="B16" i="6"/>
  <c r="B17" i="6"/>
  <c r="C17" i="6"/>
  <c r="G30" i="6"/>
  <c r="G29" i="6"/>
  <c r="G28" i="6"/>
  <c r="G27" i="6"/>
  <c r="G26" i="6"/>
  <c r="G25" i="6"/>
  <c r="G24" i="6"/>
  <c r="G23" i="6"/>
  <c r="G22" i="6"/>
  <c r="G21" i="6"/>
  <c r="G20" i="6"/>
  <c r="G19" i="6"/>
  <c r="G18" i="6"/>
  <c r="G16" i="6"/>
  <c r="G15" i="6"/>
  <c r="G14" i="6"/>
  <c r="G13" i="6"/>
  <c r="G12" i="6"/>
  <c r="G11" i="6"/>
  <c r="G10" i="6"/>
  <c r="G9" i="6"/>
  <c r="G8" i="6"/>
  <c r="G7" i="6"/>
  <c r="G6" i="6"/>
  <c r="G5" i="6"/>
  <c r="G4" i="6"/>
  <c r="G17" i="6"/>
  <c r="B59" i="1" l="1"/>
  <c r="B60" i="1"/>
  <c r="B61" i="1"/>
  <c r="B62" i="1"/>
  <c r="B63" i="1"/>
  <c r="B64" i="1"/>
  <c r="B65" i="1"/>
  <c r="B66" i="1"/>
  <c r="B67" i="1"/>
  <c r="B68" i="1"/>
  <c r="B69" i="1"/>
  <c r="B70" i="1"/>
  <c r="B71" i="1"/>
  <c r="B72" i="1"/>
  <c r="B73" i="1"/>
  <c r="B74" i="1"/>
  <c r="B75" i="1"/>
  <c r="B76" i="1"/>
  <c r="B77" i="1"/>
  <c r="B78" i="1"/>
  <c r="B79" i="1"/>
  <c r="B80" i="1"/>
  <c r="B81" i="1"/>
  <c r="O81" i="1" s="1"/>
  <c r="U81" i="1" s="1"/>
  <c r="B82" i="1"/>
  <c r="O82" i="1" s="1"/>
  <c r="U82" i="1" s="1"/>
  <c r="B83" i="1"/>
  <c r="O83" i="1" s="1"/>
  <c r="U83" i="1" s="1"/>
  <c r="B84" i="1"/>
  <c r="O84" i="1" s="1"/>
  <c r="U84" i="1" s="1"/>
  <c r="C59" i="1"/>
  <c r="C60" i="1"/>
  <c r="C61" i="1"/>
  <c r="C62" i="1"/>
  <c r="C63" i="1"/>
  <c r="C64" i="1"/>
  <c r="C65" i="1"/>
  <c r="C66" i="1"/>
  <c r="C67" i="1"/>
  <c r="C68" i="1"/>
  <c r="C69" i="1"/>
  <c r="C70" i="1"/>
  <c r="C71" i="1"/>
  <c r="C72" i="1"/>
  <c r="C73" i="1"/>
  <c r="C74" i="1"/>
  <c r="C75" i="1"/>
  <c r="C76" i="1"/>
  <c r="C77" i="1"/>
  <c r="C78" i="1"/>
  <c r="C79" i="1"/>
  <c r="C80" i="1"/>
  <c r="C81" i="1"/>
  <c r="C82" i="1"/>
  <c r="C83" i="1"/>
  <c r="C84" i="1"/>
  <c r="C58" i="1"/>
  <c r="B58" i="1"/>
  <c r="M2" i="5" l="1"/>
  <c r="L2" i="5"/>
  <c r="Q2" i="5"/>
  <c r="P2" i="5"/>
  <c r="G40" i="2"/>
  <c r="F3" i="7" s="1"/>
  <c r="G41" i="2"/>
  <c r="F4" i="7" s="1"/>
  <c r="G42" i="2"/>
  <c r="F5" i="7" s="1"/>
  <c r="G43" i="2"/>
  <c r="F6" i="7" s="1"/>
  <c r="G45" i="2"/>
  <c r="F8" i="7" s="1"/>
  <c r="G46" i="2"/>
  <c r="F9" i="7" s="1"/>
  <c r="G47" i="2"/>
  <c r="F10" i="7" s="1"/>
  <c r="G48" i="2"/>
  <c r="F11" i="7" s="1"/>
  <c r="G49" i="2"/>
  <c r="F12" i="7" s="1"/>
  <c r="G50" i="2"/>
  <c r="F13" i="7" s="1"/>
  <c r="G51" i="2"/>
  <c r="F14" i="7" s="1"/>
  <c r="G44" i="2"/>
  <c r="F7" i="7" s="1"/>
  <c r="D41" i="2"/>
  <c r="E41" i="2" s="1"/>
  <c r="D42" i="2"/>
  <c r="F42" i="2" s="1"/>
  <c r="E5" i="7" s="1"/>
  <c r="D43" i="2"/>
  <c r="F43" i="2" s="1"/>
  <c r="E6" i="7" s="1"/>
  <c r="D44" i="2"/>
  <c r="E44" i="2" s="1"/>
  <c r="D7" i="7" s="1"/>
  <c r="D45" i="2"/>
  <c r="F45" i="2" s="1"/>
  <c r="E8" i="7" s="1"/>
  <c r="D46" i="2"/>
  <c r="E46" i="2" s="1"/>
  <c r="D9" i="7" s="1"/>
  <c r="D47" i="2"/>
  <c r="F47" i="2" s="1"/>
  <c r="E10" i="7" s="1"/>
  <c r="D48" i="2"/>
  <c r="F48" i="2" s="1"/>
  <c r="E11" i="7" s="1"/>
  <c r="D49" i="2"/>
  <c r="E49" i="2" s="1"/>
  <c r="D12" i="7" s="1"/>
  <c r="D50" i="2"/>
  <c r="F50" i="2" s="1"/>
  <c r="E13" i="7" s="1"/>
  <c r="D51" i="2"/>
  <c r="E51" i="2" s="1"/>
  <c r="D14" i="7" s="1"/>
  <c r="E40" i="2"/>
  <c r="F41" i="2"/>
  <c r="E4" i="7" s="1"/>
  <c r="F46" i="2"/>
  <c r="E9" i="7" s="1"/>
  <c r="L144" i="1"/>
  <c r="M161" i="10" s="1"/>
  <c r="K184" i="10" s="1"/>
  <c r="U184" i="10" s="1"/>
  <c r="L145" i="1"/>
  <c r="K144" i="1"/>
  <c r="D144" i="1"/>
  <c r="E161" i="10" s="1"/>
  <c r="C184" i="10" s="1"/>
  <c r="O184" i="10" s="1"/>
  <c r="G145" i="1"/>
  <c r="R4" i="6"/>
  <c r="Q27" i="6"/>
  <c r="Q28" i="6"/>
  <c r="Q29" i="6"/>
  <c r="Q30" i="6"/>
  <c r="P27" i="6"/>
  <c r="P28" i="6"/>
  <c r="P29" i="6"/>
  <c r="P30" i="6"/>
  <c r="E30" i="6"/>
  <c r="E29" i="6"/>
  <c r="E28" i="6"/>
  <c r="E27" i="6"/>
  <c r="E26" i="6"/>
  <c r="E25" i="6"/>
  <c r="E24" i="6"/>
  <c r="E23" i="6"/>
  <c r="E22" i="6"/>
  <c r="E21" i="6"/>
  <c r="E20" i="6"/>
  <c r="E19" i="6"/>
  <c r="E18" i="6"/>
  <c r="E17" i="6"/>
  <c r="E16" i="6"/>
  <c r="E15" i="6"/>
  <c r="E14" i="6"/>
  <c r="E13" i="6"/>
  <c r="E12" i="6"/>
  <c r="E11" i="6"/>
  <c r="E10" i="6"/>
  <c r="E9" i="6"/>
  <c r="E8" i="6"/>
  <c r="E7" i="6"/>
  <c r="E6" i="6"/>
  <c r="E4" i="6"/>
  <c r="E5" i="6"/>
  <c r="F5" i="6"/>
  <c r="F6" i="6"/>
  <c r="F7" i="6"/>
  <c r="F8" i="6"/>
  <c r="F9" i="6"/>
  <c r="F10" i="6"/>
  <c r="F11" i="6"/>
  <c r="F12" i="6"/>
  <c r="F13" i="6"/>
  <c r="F14" i="6"/>
  <c r="F15" i="6"/>
  <c r="F16" i="6"/>
  <c r="F17" i="6"/>
  <c r="F18" i="6"/>
  <c r="F19" i="6"/>
  <c r="F20" i="6"/>
  <c r="F21" i="6"/>
  <c r="F22" i="6"/>
  <c r="F23" i="6"/>
  <c r="F24" i="6"/>
  <c r="F25" i="6"/>
  <c r="F26" i="6"/>
  <c r="F27" i="6"/>
  <c r="F28" i="6"/>
  <c r="F29" i="6"/>
  <c r="F30" i="6"/>
  <c r="F4" i="6"/>
  <c r="E2" i="3"/>
  <c r="X16" i="1"/>
  <c r="V16" i="1"/>
  <c r="S16" i="1"/>
  <c r="R16" i="1"/>
  <c r="Q16" i="1"/>
  <c r="P16" i="1"/>
  <c r="O16" i="1"/>
  <c r="N16" i="1"/>
  <c r="M16" i="1"/>
  <c r="C35" i="3"/>
  <c r="C32" i="3"/>
  <c r="C31" i="3"/>
  <c r="C30" i="3"/>
  <c r="C29" i="3"/>
  <c r="C27" i="3"/>
  <c r="C34" i="3"/>
  <c r="C33" i="3"/>
  <c r="C26" i="3"/>
  <c r="Y84" i="1"/>
  <c r="X84" i="1"/>
  <c r="E84" i="1"/>
  <c r="D84" i="1"/>
  <c r="G84" i="1" s="1"/>
  <c r="K84" i="1" s="1"/>
  <c r="R84" i="1"/>
  <c r="A84" i="1"/>
  <c r="Y83" i="1"/>
  <c r="X83" i="1"/>
  <c r="E83" i="1"/>
  <c r="D83" i="1"/>
  <c r="G83" i="1" s="1"/>
  <c r="K83" i="1" s="1"/>
  <c r="A83" i="1"/>
  <c r="Y82" i="1"/>
  <c r="X82" i="1"/>
  <c r="E82" i="1"/>
  <c r="D82" i="1"/>
  <c r="H82" i="1" s="1"/>
  <c r="L82" i="1" s="1"/>
  <c r="P82" i="1"/>
  <c r="A82" i="1"/>
  <c r="Y81" i="1"/>
  <c r="X81" i="1"/>
  <c r="E81" i="1"/>
  <c r="D81" i="1"/>
  <c r="J81" i="1" s="1"/>
  <c r="M81" i="1" s="1"/>
  <c r="A81" i="1"/>
  <c r="Y80" i="1"/>
  <c r="X80" i="1"/>
  <c r="E80" i="1"/>
  <c r="D80" i="1"/>
  <c r="A80" i="1"/>
  <c r="Y79" i="1"/>
  <c r="X79" i="1"/>
  <c r="E79" i="1"/>
  <c r="D79" i="1"/>
  <c r="G79" i="1" s="1"/>
  <c r="K79" i="1" s="1"/>
  <c r="A79" i="1"/>
  <c r="Y78" i="1"/>
  <c r="X78" i="1"/>
  <c r="E78" i="1"/>
  <c r="D78" i="1"/>
  <c r="A78" i="1"/>
  <c r="Y77" i="1"/>
  <c r="X77" i="1"/>
  <c r="E77" i="1"/>
  <c r="D77" i="1"/>
  <c r="J77" i="1" s="1"/>
  <c r="M77" i="1" s="1"/>
  <c r="A77" i="1"/>
  <c r="Y76" i="1"/>
  <c r="X76" i="1"/>
  <c r="E76" i="1"/>
  <c r="D76" i="1"/>
  <c r="A76" i="1"/>
  <c r="Y75" i="1"/>
  <c r="X75" i="1"/>
  <c r="E75" i="1"/>
  <c r="D75" i="1"/>
  <c r="J75" i="1" s="1"/>
  <c r="M75" i="1" s="1"/>
  <c r="A75" i="1"/>
  <c r="Y74" i="1"/>
  <c r="X74" i="1"/>
  <c r="E74" i="1"/>
  <c r="D74" i="1"/>
  <c r="H74" i="1" s="1"/>
  <c r="L74" i="1" s="1"/>
  <c r="A74" i="1"/>
  <c r="Y73" i="1"/>
  <c r="X73" i="1"/>
  <c r="E73" i="1"/>
  <c r="D73" i="1"/>
  <c r="J73" i="1" s="1"/>
  <c r="M73" i="1" s="1"/>
  <c r="A73" i="1"/>
  <c r="Y72" i="1"/>
  <c r="X72" i="1"/>
  <c r="E72" i="1"/>
  <c r="D72" i="1"/>
  <c r="A72" i="1"/>
  <c r="Y71" i="1"/>
  <c r="X71" i="1"/>
  <c r="E71" i="1"/>
  <c r="D71" i="1"/>
  <c r="G71" i="1" s="1"/>
  <c r="K71" i="1" s="1"/>
  <c r="A71" i="1"/>
  <c r="Y70" i="1"/>
  <c r="X70" i="1"/>
  <c r="E70" i="1"/>
  <c r="D70" i="1"/>
  <c r="H70" i="1" s="1"/>
  <c r="L70" i="1" s="1"/>
  <c r="A70" i="1"/>
  <c r="Y69" i="1"/>
  <c r="X69" i="1"/>
  <c r="E69" i="1"/>
  <c r="D69" i="1"/>
  <c r="J69" i="1" s="1"/>
  <c r="M69" i="1" s="1"/>
  <c r="A69" i="1"/>
  <c r="Y68" i="1"/>
  <c r="X68" i="1"/>
  <c r="E68" i="1"/>
  <c r="D68" i="1"/>
  <c r="J68" i="1" s="1"/>
  <c r="M68" i="1" s="1"/>
  <c r="A68" i="1"/>
  <c r="Y67" i="1"/>
  <c r="X67" i="1"/>
  <c r="E67" i="1"/>
  <c r="D67" i="1"/>
  <c r="G67" i="1" s="1"/>
  <c r="K67" i="1" s="1"/>
  <c r="A67" i="1"/>
  <c r="Y66" i="1"/>
  <c r="X66" i="1"/>
  <c r="E66" i="1"/>
  <c r="D66" i="1"/>
  <c r="J66" i="1" s="1"/>
  <c r="M66" i="1" s="1"/>
  <c r="A66" i="1"/>
  <c r="Y65" i="1"/>
  <c r="X65" i="1"/>
  <c r="E65" i="1"/>
  <c r="D65" i="1"/>
  <c r="G65" i="1" s="1"/>
  <c r="K65" i="1" s="1"/>
  <c r="A65" i="1"/>
  <c r="Y64" i="1"/>
  <c r="X64" i="1"/>
  <c r="E64" i="1"/>
  <c r="D64" i="1"/>
  <c r="J64" i="1" s="1"/>
  <c r="M64" i="1" s="1"/>
  <c r="A64" i="1"/>
  <c r="Y63" i="1"/>
  <c r="X63" i="1"/>
  <c r="E63" i="1"/>
  <c r="D63" i="1"/>
  <c r="J63" i="1" s="1"/>
  <c r="M63" i="1" s="1"/>
  <c r="A63" i="1"/>
  <c r="Y62" i="1"/>
  <c r="X62" i="1"/>
  <c r="E62" i="1"/>
  <c r="D62" i="1"/>
  <c r="J62" i="1" s="1"/>
  <c r="M62" i="1" s="1"/>
  <c r="A62" i="1"/>
  <c r="Y61" i="1"/>
  <c r="X61" i="1"/>
  <c r="E61" i="1"/>
  <c r="D61" i="1"/>
  <c r="H61" i="1" s="1"/>
  <c r="L61" i="1" s="1"/>
  <c r="A61" i="1"/>
  <c r="Y60" i="1"/>
  <c r="X60" i="1"/>
  <c r="E60" i="1"/>
  <c r="D60" i="1"/>
  <c r="H60" i="1" s="1"/>
  <c r="L60" i="1" s="1"/>
  <c r="A60" i="1"/>
  <c r="Y59" i="1"/>
  <c r="X59" i="1"/>
  <c r="E59" i="1"/>
  <c r="D59" i="1"/>
  <c r="G59" i="1" s="1"/>
  <c r="K59" i="1" s="1"/>
  <c r="A59" i="1"/>
  <c r="I5" i="6"/>
  <c r="I6" i="6"/>
  <c r="I7" i="6"/>
  <c r="I8" i="6"/>
  <c r="I9" i="6"/>
  <c r="I10" i="6"/>
  <c r="I11" i="6"/>
  <c r="I12" i="6"/>
  <c r="I13" i="6"/>
  <c r="I14" i="6"/>
  <c r="I15" i="6"/>
  <c r="I16" i="6"/>
  <c r="I17" i="6"/>
  <c r="I18" i="6"/>
  <c r="I19" i="6"/>
  <c r="I20" i="6"/>
  <c r="I21" i="6"/>
  <c r="I22" i="6"/>
  <c r="I23" i="6"/>
  <c r="I24" i="6"/>
  <c r="I25" i="6"/>
  <c r="I26" i="6"/>
  <c r="I27" i="6"/>
  <c r="I28" i="6"/>
  <c r="I29" i="6"/>
  <c r="I30" i="6"/>
  <c r="I4" i="6"/>
  <c r="AM4" i="6"/>
  <c r="AL4" i="6"/>
  <c r="E144" i="1"/>
  <c r="G144" i="1"/>
  <c r="H144" i="1"/>
  <c r="J144" i="1"/>
  <c r="K161" i="10" s="1"/>
  <c r="H184" i="10" s="1"/>
  <c r="S184" i="10" s="1"/>
  <c r="D145" i="1"/>
  <c r="E145" i="1"/>
  <c r="H145" i="1"/>
  <c r="I162" i="10" s="1"/>
  <c r="F185" i="10" s="1"/>
  <c r="R185" i="10" s="1"/>
  <c r="J145" i="1"/>
  <c r="K162" i="10" s="1"/>
  <c r="H185" i="10" s="1"/>
  <c r="S185" i="10" s="1"/>
  <c r="K145" i="1"/>
  <c r="D146" i="1"/>
  <c r="E163" i="10" s="1"/>
  <c r="E146" i="1"/>
  <c r="G146" i="1"/>
  <c r="H146" i="1"/>
  <c r="J146" i="1"/>
  <c r="K146" i="1"/>
  <c r="L163" i="10" s="1"/>
  <c r="I186" i="10" s="1"/>
  <c r="T186" i="10" s="1"/>
  <c r="L146" i="1"/>
  <c r="D147" i="1"/>
  <c r="E164" i="10" s="1"/>
  <c r="E147" i="1"/>
  <c r="G147" i="1"/>
  <c r="H147" i="1"/>
  <c r="J147" i="1"/>
  <c r="K147" i="1"/>
  <c r="L147" i="1"/>
  <c r="D148" i="1"/>
  <c r="E165" i="10" s="1"/>
  <c r="E148" i="1"/>
  <c r="F165" i="10" s="1"/>
  <c r="G148" i="1"/>
  <c r="H148" i="1"/>
  <c r="J148" i="1"/>
  <c r="K148" i="1"/>
  <c r="L148" i="1"/>
  <c r="D149" i="1"/>
  <c r="E166" i="10" s="1"/>
  <c r="E149" i="1"/>
  <c r="F166" i="10" s="1"/>
  <c r="G149" i="1"/>
  <c r="H149" i="1"/>
  <c r="J149" i="1"/>
  <c r="K149" i="1"/>
  <c r="L149" i="1"/>
  <c r="M166" i="10" s="1"/>
  <c r="K189" i="10" s="1"/>
  <c r="U189" i="10" s="1"/>
  <c r="D150" i="1"/>
  <c r="E167" i="10" s="1"/>
  <c r="E150" i="1"/>
  <c r="G150" i="1"/>
  <c r="H167" i="10" s="1"/>
  <c r="H150" i="1"/>
  <c r="J150" i="1"/>
  <c r="K150" i="1"/>
  <c r="L150" i="1"/>
  <c r="D151" i="1"/>
  <c r="E151" i="1"/>
  <c r="F168" i="10" s="1"/>
  <c r="G151" i="1"/>
  <c r="H151" i="1"/>
  <c r="J151" i="1"/>
  <c r="K151" i="1"/>
  <c r="L151" i="1"/>
  <c r="M168" i="10" s="1"/>
  <c r="K191" i="10" s="1"/>
  <c r="U191" i="10" s="1"/>
  <c r="D152" i="1"/>
  <c r="E169" i="10" s="1"/>
  <c r="E152" i="1"/>
  <c r="G152" i="1"/>
  <c r="H152" i="1"/>
  <c r="I169" i="10" s="1"/>
  <c r="F192" i="10" s="1"/>
  <c r="R192" i="10" s="1"/>
  <c r="J152" i="1"/>
  <c r="K152" i="1"/>
  <c r="L152" i="1"/>
  <c r="D153" i="1"/>
  <c r="E153" i="1"/>
  <c r="F170" i="10" s="1"/>
  <c r="G153" i="1"/>
  <c r="H153" i="1"/>
  <c r="I170" i="10" s="1"/>
  <c r="F193" i="10" s="1"/>
  <c r="R193" i="10" s="1"/>
  <c r="J153" i="1"/>
  <c r="K153" i="1"/>
  <c r="L153" i="1"/>
  <c r="D154" i="1"/>
  <c r="E154" i="1"/>
  <c r="G154" i="1"/>
  <c r="H171" i="10" s="1"/>
  <c r="H154" i="1"/>
  <c r="I171" i="10" s="1"/>
  <c r="F194" i="10" s="1"/>
  <c r="R194" i="10" s="1"/>
  <c r="J154" i="1"/>
  <c r="K154" i="1"/>
  <c r="L154" i="1"/>
  <c r="D155" i="1"/>
  <c r="E155" i="1"/>
  <c r="G155" i="1"/>
  <c r="H155" i="1"/>
  <c r="J155" i="1"/>
  <c r="K155" i="1"/>
  <c r="L155" i="1"/>
  <c r="D156" i="1"/>
  <c r="E173" i="10" s="1"/>
  <c r="E156" i="1"/>
  <c r="F173" i="10" s="1"/>
  <c r="G156" i="1"/>
  <c r="H156" i="1"/>
  <c r="I173" i="10" s="1"/>
  <c r="F196" i="10" s="1"/>
  <c r="R196" i="10" s="1"/>
  <c r="J156" i="1"/>
  <c r="K156" i="1"/>
  <c r="L156" i="1"/>
  <c r="D157" i="1"/>
  <c r="E157" i="1"/>
  <c r="F174" i="10" s="1"/>
  <c r="G157" i="1"/>
  <c r="H174" i="10" s="1"/>
  <c r="H157" i="1"/>
  <c r="J157" i="1"/>
  <c r="K157" i="1"/>
  <c r="L157" i="1"/>
  <c r="D158" i="1"/>
  <c r="E158" i="1"/>
  <c r="F175" i="10" s="1"/>
  <c r="G158" i="1"/>
  <c r="H158" i="1"/>
  <c r="J158" i="1"/>
  <c r="K158" i="1"/>
  <c r="L158" i="1"/>
  <c r="D159" i="1"/>
  <c r="E159" i="1"/>
  <c r="F176" i="10" s="1"/>
  <c r="G159" i="1"/>
  <c r="H176" i="10" s="1"/>
  <c r="H159" i="1"/>
  <c r="J159" i="1"/>
  <c r="K159" i="1"/>
  <c r="L159" i="1"/>
  <c r="M176" i="10" s="1"/>
  <c r="K199" i="10" s="1"/>
  <c r="U199" i="10" s="1"/>
  <c r="D160" i="1"/>
  <c r="E177" i="10" s="1"/>
  <c r="E160" i="1"/>
  <c r="G160" i="1"/>
  <c r="H160" i="1"/>
  <c r="J160" i="1"/>
  <c r="K160" i="1"/>
  <c r="L160" i="1"/>
  <c r="D161" i="1"/>
  <c r="E178" i="10" s="1"/>
  <c r="E161" i="1"/>
  <c r="G161" i="1"/>
  <c r="H178" i="10" s="1"/>
  <c r="H161" i="1"/>
  <c r="J161" i="1"/>
  <c r="K161" i="1"/>
  <c r="L161" i="1"/>
  <c r="O52" i="2"/>
  <c r="Z4" i="6"/>
  <c r="W4" i="6"/>
  <c r="V4" i="6"/>
  <c r="U4" i="6"/>
  <c r="T4" i="6"/>
  <c r="S4" i="6"/>
  <c r="E138" i="1"/>
  <c r="G126" i="1"/>
  <c r="L126" i="1" s="1"/>
  <c r="M126" i="1" s="1"/>
  <c r="E137" i="1"/>
  <c r="E136" i="1"/>
  <c r="E135" i="1"/>
  <c r="E134" i="1"/>
  <c r="E133" i="1"/>
  <c r="E132" i="1"/>
  <c r="E131" i="1"/>
  <c r="E130" i="1"/>
  <c r="E129" i="1"/>
  <c r="E128" i="1"/>
  <c r="E127" i="1"/>
  <c r="E126" i="1"/>
  <c r="E125" i="1"/>
  <c r="E124" i="1"/>
  <c r="E123" i="1"/>
  <c r="E122" i="1"/>
  <c r="E121" i="1"/>
  <c r="E120" i="1"/>
  <c r="E119" i="1"/>
  <c r="E118" i="1"/>
  <c r="E117" i="1"/>
  <c r="E116" i="1"/>
  <c r="E115" i="1"/>
  <c r="E113" i="1"/>
  <c r="E112" i="1"/>
  <c r="E114" i="1"/>
  <c r="D138" i="1"/>
  <c r="D137" i="1"/>
  <c r="D136" i="1"/>
  <c r="D135" i="1"/>
  <c r="D134" i="1"/>
  <c r="D133" i="1"/>
  <c r="D132" i="1"/>
  <c r="D131" i="1"/>
  <c r="D130" i="1"/>
  <c r="D129" i="1"/>
  <c r="D128" i="1"/>
  <c r="D127" i="1"/>
  <c r="D126" i="1"/>
  <c r="D125" i="1"/>
  <c r="D124" i="1"/>
  <c r="D123" i="1"/>
  <c r="D122" i="1"/>
  <c r="D121" i="1"/>
  <c r="D120" i="1"/>
  <c r="D119" i="1"/>
  <c r="D118" i="1"/>
  <c r="D117" i="1"/>
  <c r="D116" i="1"/>
  <c r="D115" i="1"/>
  <c r="D113" i="1"/>
  <c r="D112" i="1"/>
  <c r="D114" i="1"/>
  <c r="G117" i="1"/>
  <c r="K117" i="1" s="1"/>
  <c r="G119" i="1"/>
  <c r="L119" i="1" s="1"/>
  <c r="M119" i="1" s="1"/>
  <c r="G131" i="1"/>
  <c r="R131" i="1" s="1"/>
  <c r="G132" i="1"/>
  <c r="S132" i="1" s="1"/>
  <c r="T132" i="1" s="1"/>
  <c r="G133" i="1"/>
  <c r="G134" i="1"/>
  <c r="R134" i="1" s="1"/>
  <c r="G135" i="1"/>
  <c r="R135" i="1" s="1"/>
  <c r="G136" i="1"/>
  <c r="G137" i="1"/>
  <c r="G138" i="1"/>
  <c r="K138" i="1" s="1"/>
  <c r="J47" i="1"/>
  <c r="K47" i="10" s="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N30" i="6"/>
  <c r="M30" i="6"/>
  <c r="L30" i="6"/>
  <c r="J30" i="6"/>
  <c r="N29" i="6"/>
  <c r="M29" i="6"/>
  <c r="L29" i="6"/>
  <c r="J29" i="6"/>
  <c r="N28" i="6"/>
  <c r="M28" i="6"/>
  <c r="L28" i="6"/>
  <c r="J28" i="6"/>
  <c r="N27" i="6"/>
  <c r="M27" i="6"/>
  <c r="L27" i="6"/>
  <c r="J27" i="6"/>
  <c r="N26" i="6"/>
  <c r="M26" i="6"/>
  <c r="L26" i="6"/>
  <c r="J26" i="6"/>
  <c r="N25" i="6"/>
  <c r="M25" i="6"/>
  <c r="L25" i="6"/>
  <c r="J25" i="6"/>
  <c r="N24" i="6"/>
  <c r="M24" i="6"/>
  <c r="L24" i="6"/>
  <c r="J24" i="6"/>
  <c r="N23" i="6"/>
  <c r="M23" i="6"/>
  <c r="L23" i="6"/>
  <c r="J23" i="6"/>
  <c r="N22" i="6"/>
  <c r="M22" i="6"/>
  <c r="L22" i="6"/>
  <c r="J22" i="6"/>
  <c r="B2" i="5"/>
  <c r="N21" i="6"/>
  <c r="M21" i="6"/>
  <c r="L21" i="6"/>
  <c r="J21" i="6"/>
  <c r="N20" i="6"/>
  <c r="M20" i="6"/>
  <c r="L20" i="6"/>
  <c r="J20" i="6"/>
  <c r="N19" i="6"/>
  <c r="M19" i="6"/>
  <c r="L19" i="6"/>
  <c r="J19" i="6"/>
  <c r="N18" i="6"/>
  <c r="M18" i="6"/>
  <c r="L18" i="6"/>
  <c r="J18" i="6"/>
  <c r="N17" i="6"/>
  <c r="M17" i="6"/>
  <c r="L17" i="6"/>
  <c r="J17" i="6"/>
  <c r="N16" i="6"/>
  <c r="M16" i="6"/>
  <c r="L16" i="6"/>
  <c r="J16" i="6"/>
  <c r="N15" i="6"/>
  <c r="M15" i="6"/>
  <c r="L15" i="6"/>
  <c r="J15" i="6"/>
  <c r="N14" i="6"/>
  <c r="M14" i="6"/>
  <c r="L14" i="6"/>
  <c r="J14" i="6"/>
  <c r="N13" i="6"/>
  <c r="M13" i="6"/>
  <c r="L13" i="6"/>
  <c r="J13" i="6"/>
  <c r="N12" i="6"/>
  <c r="M12" i="6"/>
  <c r="L12" i="6"/>
  <c r="J12" i="6"/>
  <c r="N11" i="6"/>
  <c r="M11" i="6"/>
  <c r="L11" i="6"/>
  <c r="J11" i="6"/>
  <c r="N10" i="6"/>
  <c r="M10" i="6"/>
  <c r="L10" i="6"/>
  <c r="J10" i="6"/>
  <c r="N9" i="6"/>
  <c r="M9" i="6"/>
  <c r="L9" i="6"/>
  <c r="J9" i="6"/>
  <c r="N8" i="6"/>
  <c r="M8" i="6"/>
  <c r="L8" i="6"/>
  <c r="J8" i="6"/>
  <c r="N7" i="6"/>
  <c r="M7" i="6"/>
  <c r="L7" i="6"/>
  <c r="J7" i="6"/>
  <c r="N6" i="6"/>
  <c r="M6" i="6"/>
  <c r="L6" i="6"/>
  <c r="J6" i="6"/>
  <c r="N5" i="6"/>
  <c r="M5" i="6"/>
  <c r="L5" i="6"/>
  <c r="J5" i="6"/>
  <c r="AH4" i="6"/>
  <c r="AG4" i="6"/>
  <c r="AF4" i="6"/>
  <c r="AE4" i="6"/>
  <c r="AD4" i="6"/>
  <c r="N4" i="6"/>
  <c r="M4" i="6"/>
  <c r="L4" i="6"/>
  <c r="J4" i="6"/>
  <c r="S2" i="5"/>
  <c r="R2" i="5"/>
  <c r="O2" i="5"/>
  <c r="N2" i="5"/>
  <c r="J2" i="5"/>
  <c r="G2" i="5"/>
  <c r="H2" i="5"/>
  <c r="K2" i="5"/>
  <c r="I2" i="5"/>
  <c r="F2" i="5"/>
  <c r="D2" i="5"/>
  <c r="J48" i="1"/>
  <c r="J49" i="1"/>
  <c r="K49" i="10" s="1"/>
  <c r="J50" i="1"/>
  <c r="J51" i="1"/>
  <c r="J52" i="1"/>
  <c r="J53" i="1"/>
  <c r="K53" i="10" s="1"/>
  <c r="J54" i="1"/>
  <c r="J55" i="1"/>
  <c r="J56" i="1"/>
  <c r="D58" i="1"/>
  <c r="J58" i="1" s="1"/>
  <c r="M58" i="1" s="1"/>
  <c r="C9" i="3"/>
  <c r="A58" i="1"/>
  <c r="Y58" i="1"/>
  <c r="X58" i="1"/>
  <c r="E58" i="1"/>
  <c r="G112" i="1"/>
  <c r="L112" i="1" s="1"/>
  <c r="M112" i="1" s="1"/>
  <c r="G116" i="1"/>
  <c r="S116" i="1" s="1"/>
  <c r="T116" i="1" s="1"/>
  <c r="G125" i="1"/>
  <c r="G128" i="1"/>
  <c r="L128" i="1" s="1"/>
  <c r="M128" i="1" s="1"/>
  <c r="G120" i="1"/>
  <c r="L120" i="1" s="1"/>
  <c r="M120" i="1" s="1"/>
  <c r="G130" i="1"/>
  <c r="L130" i="1" s="1"/>
  <c r="M130" i="1" s="1"/>
  <c r="G122" i="1"/>
  <c r="G118" i="1"/>
  <c r="R118" i="1" s="1"/>
  <c r="G68" i="1"/>
  <c r="K68" i="1" s="1"/>
  <c r="H75" i="1"/>
  <c r="L75" i="1" s="1"/>
  <c r="H83" i="1"/>
  <c r="L83" i="1" s="1"/>
  <c r="H68" i="1"/>
  <c r="L68" i="1" s="1"/>
  <c r="G124" i="1"/>
  <c r="S124" i="1" s="1"/>
  <c r="T124" i="1" s="1"/>
  <c r="G129" i="1"/>
  <c r="S129" i="1" s="1"/>
  <c r="T129" i="1" s="1"/>
  <c r="G127" i="1"/>
  <c r="S127" i="1" s="1"/>
  <c r="T127" i="1" s="1"/>
  <c r="G121" i="1"/>
  <c r="K121" i="1" s="1"/>
  <c r="G123" i="1"/>
  <c r="K123" i="1" s="1"/>
  <c r="G60" i="1"/>
  <c r="K60" i="1" s="1"/>
  <c r="J83" i="1"/>
  <c r="M83" i="1" s="1"/>
  <c r="AI4" i="6"/>
  <c r="AJ4" i="6"/>
  <c r="J167" i="1"/>
  <c r="T167" i="1" s="1"/>
  <c r="B172" i="1"/>
  <c r="N172" i="1" s="1"/>
  <c r="T83" i="1"/>
  <c r="R82" i="1"/>
  <c r="T82" i="1"/>
  <c r="P81" i="1"/>
  <c r="H169" i="1" l="1"/>
  <c r="S169" i="1" s="1"/>
  <c r="AB20" i="10"/>
  <c r="AB24" i="10"/>
  <c r="AB28" i="10"/>
  <c r="AB32" i="10"/>
  <c r="AB36" i="10"/>
  <c r="AB18" i="10"/>
  <c r="AB21" i="10"/>
  <c r="AB25" i="10"/>
  <c r="AB29" i="10"/>
  <c r="AB33" i="10"/>
  <c r="AB37" i="10"/>
  <c r="AB41" i="10"/>
  <c r="AP45" i="1"/>
  <c r="AB22" i="10"/>
  <c r="AB26" i="10"/>
  <c r="AB30" i="10"/>
  <c r="AB34" i="10"/>
  <c r="AB38" i="10"/>
  <c r="AB42" i="10"/>
  <c r="AB19" i="10"/>
  <c r="AB23" i="10"/>
  <c r="AB27" i="10"/>
  <c r="AB31" i="10"/>
  <c r="AB35" i="10"/>
  <c r="AB39" i="10"/>
  <c r="AB43" i="10"/>
  <c r="H63" i="1"/>
  <c r="L63" i="1" s="1"/>
  <c r="AM45" i="1"/>
  <c r="G75" i="1"/>
  <c r="K75" i="1" s="1"/>
  <c r="J79" i="1"/>
  <c r="M79" i="1" s="1"/>
  <c r="H67" i="1"/>
  <c r="L67" i="1" s="1"/>
  <c r="J67" i="1"/>
  <c r="M67" i="1" s="1"/>
  <c r="H71" i="1"/>
  <c r="L71" i="1" s="1"/>
  <c r="E179" i="1"/>
  <c r="Q179" i="1" s="1"/>
  <c r="J61" i="1"/>
  <c r="M61" i="1" s="1"/>
  <c r="E175" i="1"/>
  <c r="Q175" i="1" s="1"/>
  <c r="J174" i="1"/>
  <c r="T174" i="1" s="1"/>
  <c r="G167" i="1"/>
  <c r="R167" i="1" s="1"/>
  <c r="L138" i="1"/>
  <c r="M138" i="1" s="1"/>
  <c r="AB40" i="10"/>
  <c r="G66" i="1"/>
  <c r="K66" i="1" s="1"/>
  <c r="D4" i="7"/>
  <c r="D3" i="7"/>
  <c r="B3" i="7" s="1"/>
  <c r="C171" i="1"/>
  <c r="O171" i="1" s="1"/>
  <c r="S134" i="1"/>
  <c r="T134" i="1" s="1"/>
  <c r="R119" i="1"/>
  <c r="J172" i="1"/>
  <c r="T172" i="1" s="1"/>
  <c r="B179" i="1"/>
  <c r="D173" i="1"/>
  <c r="P173" i="1" s="1"/>
  <c r="K50" i="1"/>
  <c r="K50" i="10"/>
  <c r="M53" i="10"/>
  <c r="L53" i="10"/>
  <c r="M49" i="10"/>
  <c r="L49" i="10"/>
  <c r="M47" i="10"/>
  <c r="L47" i="10"/>
  <c r="L54" i="1"/>
  <c r="K54" i="10"/>
  <c r="K56" i="1"/>
  <c r="K56" i="10"/>
  <c r="K52" i="1"/>
  <c r="K52" i="10"/>
  <c r="K48" i="1"/>
  <c r="K48" i="10"/>
  <c r="K55" i="1"/>
  <c r="K55" i="10"/>
  <c r="L51" i="1"/>
  <c r="K51" i="10"/>
  <c r="F49" i="2"/>
  <c r="E12" i="7" s="1"/>
  <c r="E184" i="1"/>
  <c r="Q184" i="1" s="1"/>
  <c r="I178" i="10"/>
  <c r="F201" i="10" s="1"/>
  <c r="R201" i="10" s="1"/>
  <c r="D183" i="1"/>
  <c r="P183" i="1" s="1"/>
  <c r="H177" i="10"/>
  <c r="D199" i="10"/>
  <c r="P199" i="10" s="1"/>
  <c r="B181" i="1"/>
  <c r="N181" i="1" s="1"/>
  <c r="E175" i="10"/>
  <c r="J179" i="1"/>
  <c r="T179" i="1" s="1"/>
  <c r="M173" i="10"/>
  <c r="K196" i="10" s="1"/>
  <c r="U196" i="10" s="1"/>
  <c r="D175" i="1"/>
  <c r="P175" i="1" s="1"/>
  <c r="H169" i="10"/>
  <c r="D191" i="10"/>
  <c r="P191" i="10" s="1"/>
  <c r="G173" i="1"/>
  <c r="R173" i="1" s="1"/>
  <c r="K167" i="10"/>
  <c r="H190" i="10" s="1"/>
  <c r="S190" i="10" s="1"/>
  <c r="E172" i="1"/>
  <c r="Q172" i="1" s="1"/>
  <c r="I166" i="10"/>
  <c r="F189" i="10" s="1"/>
  <c r="R189" i="10" s="1"/>
  <c r="J171" i="1"/>
  <c r="T171" i="1" s="1"/>
  <c r="M165" i="10"/>
  <c r="K188" i="10" s="1"/>
  <c r="U188" i="10" s="1"/>
  <c r="H170" i="1"/>
  <c r="S170" i="1" s="1"/>
  <c r="L164" i="10"/>
  <c r="I187" i="10" s="1"/>
  <c r="T187" i="10" s="1"/>
  <c r="C186" i="10"/>
  <c r="D167" i="1"/>
  <c r="P167" i="1" s="1"/>
  <c r="H161" i="10"/>
  <c r="D168" i="1"/>
  <c r="P168" i="1" s="1"/>
  <c r="H162" i="10"/>
  <c r="J182" i="1"/>
  <c r="T182" i="1" s="1"/>
  <c r="J184" i="1"/>
  <c r="T184" i="1" s="1"/>
  <c r="M178" i="10"/>
  <c r="K201" i="10" s="1"/>
  <c r="U201" i="10" s="1"/>
  <c r="E201" i="10"/>
  <c r="Q201" i="10" s="1"/>
  <c r="H183" i="1"/>
  <c r="S183" i="1" s="1"/>
  <c r="L177" i="10"/>
  <c r="I200" i="10" s="1"/>
  <c r="T200" i="10" s="1"/>
  <c r="C183" i="1"/>
  <c r="O183" i="1" s="1"/>
  <c r="F177" i="10"/>
  <c r="G182" i="1"/>
  <c r="R182" i="1" s="1"/>
  <c r="K176" i="10"/>
  <c r="H199" i="10" s="1"/>
  <c r="S199" i="10" s="1"/>
  <c r="B182" i="1"/>
  <c r="N182" i="1" s="1"/>
  <c r="E176" i="10"/>
  <c r="E181" i="1"/>
  <c r="Q181" i="1" s="1"/>
  <c r="I175" i="10"/>
  <c r="F198" i="10" s="1"/>
  <c r="R198" i="10" s="1"/>
  <c r="J180" i="1"/>
  <c r="T180" i="1" s="1"/>
  <c r="M174" i="10"/>
  <c r="K197" i="10" s="1"/>
  <c r="U197" i="10" s="1"/>
  <c r="E197" i="10"/>
  <c r="Q197" i="10" s="1"/>
  <c r="H179" i="1"/>
  <c r="S179" i="1" s="1"/>
  <c r="L173" i="10"/>
  <c r="I196" i="10" s="1"/>
  <c r="T196" i="10" s="1"/>
  <c r="D196" i="10"/>
  <c r="P196" i="10" s="1"/>
  <c r="G178" i="1"/>
  <c r="R178" i="1" s="1"/>
  <c r="K172" i="10"/>
  <c r="H195" i="10" s="1"/>
  <c r="S195" i="10" s="1"/>
  <c r="B178" i="1"/>
  <c r="N178" i="1" s="1"/>
  <c r="E172" i="10"/>
  <c r="J176" i="1"/>
  <c r="T176" i="1" s="1"/>
  <c r="M170" i="10"/>
  <c r="K193" i="10" s="1"/>
  <c r="U193" i="10" s="1"/>
  <c r="D176" i="1"/>
  <c r="P176" i="1" s="1"/>
  <c r="H170" i="10"/>
  <c r="H175" i="1"/>
  <c r="S175" i="1" s="1"/>
  <c r="L169" i="10"/>
  <c r="I192" i="10" s="1"/>
  <c r="T192" i="10" s="1"/>
  <c r="C175" i="1"/>
  <c r="O175" i="1" s="1"/>
  <c r="F169" i="10"/>
  <c r="G174" i="1"/>
  <c r="R174" i="1" s="1"/>
  <c r="K168" i="10"/>
  <c r="H191" i="10" s="1"/>
  <c r="S191" i="10" s="1"/>
  <c r="B174" i="1"/>
  <c r="N174" i="1" s="1"/>
  <c r="E168" i="10"/>
  <c r="E173" i="1"/>
  <c r="Q173" i="1" s="1"/>
  <c r="I167" i="10"/>
  <c r="F190" i="10" s="1"/>
  <c r="R190" i="10" s="1"/>
  <c r="D172" i="1"/>
  <c r="P172" i="1" s="1"/>
  <c r="H166" i="10"/>
  <c r="H171" i="1"/>
  <c r="S171" i="1" s="1"/>
  <c r="L165" i="10"/>
  <c r="I188" i="10" s="1"/>
  <c r="T188" i="10" s="1"/>
  <c r="D188" i="10"/>
  <c r="P188" i="10" s="1"/>
  <c r="G170" i="1"/>
  <c r="R170" i="1" s="1"/>
  <c r="K164" i="10"/>
  <c r="H187" i="10" s="1"/>
  <c r="S187" i="10" s="1"/>
  <c r="C187" i="10"/>
  <c r="E169" i="1"/>
  <c r="Q169" i="1" s="1"/>
  <c r="I163" i="10"/>
  <c r="F186" i="10" s="1"/>
  <c r="R186" i="10" s="1"/>
  <c r="H168" i="1"/>
  <c r="S168" i="1" s="1"/>
  <c r="L162" i="10"/>
  <c r="I185" i="10" s="1"/>
  <c r="T185" i="10" s="1"/>
  <c r="B168" i="1"/>
  <c r="N168" i="1" s="1"/>
  <c r="E162" i="10"/>
  <c r="C167" i="1"/>
  <c r="O167" i="1" s="1"/>
  <c r="F161" i="10"/>
  <c r="J183" i="1"/>
  <c r="T183" i="1" s="1"/>
  <c r="M177" i="10"/>
  <c r="K200" i="10" s="1"/>
  <c r="U200" i="10" s="1"/>
  <c r="H182" i="1"/>
  <c r="S182" i="1" s="1"/>
  <c r="L176" i="10"/>
  <c r="I199" i="10" s="1"/>
  <c r="T199" i="10" s="1"/>
  <c r="G181" i="1"/>
  <c r="R181" i="1" s="1"/>
  <c r="K175" i="10"/>
  <c r="H198" i="10" s="1"/>
  <c r="S198" i="10" s="1"/>
  <c r="E180" i="1"/>
  <c r="Q180" i="1" s="1"/>
  <c r="I174" i="10"/>
  <c r="F197" i="10" s="1"/>
  <c r="R197" i="10" s="1"/>
  <c r="D179" i="1"/>
  <c r="P179" i="1" s="1"/>
  <c r="H173" i="10"/>
  <c r="H178" i="1"/>
  <c r="S178" i="1" s="1"/>
  <c r="L172" i="10"/>
  <c r="I195" i="10" s="1"/>
  <c r="T195" i="10" s="1"/>
  <c r="C178" i="1"/>
  <c r="O178" i="1" s="1"/>
  <c r="F172" i="10"/>
  <c r="G177" i="1"/>
  <c r="R177" i="1" s="1"/>
  <c r="K171" i="10"/>
  <c r="H194" i="10" s="1"/>
  <c r="S194" i="10" s="1"/>
  <c r="B177" i="1"/>
  <c r="N177" i="1" s="1"/>
  <c r="E171" i="10"/>
  <c r="J175" i="1"/>
  <c r="T175" i="1" s="1"/>
  <c r="M169" i="10"/>
  <c r="K192" i="10" s="1"/>
  <c r="U192" i="10" s="1"/>
  <c r="H174" i="1"/>
  <c r="S174" i="1" s="1"/>
  <c r="L168" i="10"/>
  <c r="I191" i="10" s="1"/>
  <c r="T191" i="10" s="1"/>
  <c r="C190" i="10"/>
  <c r="D171" i="1"/>
  <c r="P171" i="1" s="1"/>
  <c r="H165" i="10"/>
  <c r="C170" i="1"/>
  <c r="O170" i="1" s="1"/>
  <c r="F164" i="10"/>
  <c r="G169" i="1"/>
  <c r="R169" i="1" s="1"/>
  <c r="K163" i="10"/>
  <c r="H186" i="10" s="1"/>
  <c r="S186" i="10" s="1"/>
  <c r="C168" i="1"/>
  <c r="O168" i="1" s="1"/>
  <c r="F162" i="10"/>
  <c r="G81" i="1"/>
  <c r="K81" i="1" s="1"/>
  <c r="H184" i="1"/>
  <c r="S184" i="1" s="1"/>
  <c r="L178" i="10"/>
  <c r="I201" i="10" s="1"/>
  <c r="T201" i="10" s="1"/>
  <c r="C184" i="1"/>
  <c r="O184" i="1" s="1"/>
  <c r="F178" i="10"/>
  <c r="G183" i="1"/>
  <c r="R183" i="1" s="1"/>
  <c r="K177" i="10"/>
  <c r="H200" i="10" s="1"/>
  <c r="S200" i="10" s="1"/>
  <c r="C200" i="10"/>
  <c r="E182" i="1"/>
  <c r="Q182" i="1" s="1"/>
  <c r="I176" i="10"/>
  <c r="F199" i="10" s="1"/>
  <c r="R199" i="10" s="1"/>
  <c r="J181" i="1"/>
  <c r="T181" i="1" s="1"/>
  <c r="M175" i="10"/>
  <c r="K198" i="10" s="1"/>
  <c r="U198" i="10" s="1"/>
  <c r="D181" i="1"/>
  <c r="P181" i="1" s="1"/>
  <c r="H175" i="10"/>
  <c r="H180" i="1"/>
  <c r="S180" i="1" s="1"/>
  <c r="L174" i="10"/>
  <c r="I197" i="10" s="1"/>
  <c r="T197" i="10" s="1"/>
  <c r="D197" i="10"/>
  <c r="P197" i="10" s="1"/>
  <c r="G179" i="1"/>
  <c r="R179" i="1" s="1"/>
  <c r="K173" i="10"/>
  <c r="H196" i="10" s="1"/>
  <c r="S196" i="10" s="1"/>
  <c r="C196" i="10"/>
  <c r="E178" i="1"/>
  <c r="Q178" i="1" s="1"/>
  <c r="I172" i="10"/>
  <c r="F195" i="10" s="1"/>
  <c r="R195" i="10" s="1"/>
  <c r="J177" i="1"/>
  <c r="T177" i="1" s="1"/>
  <c r="M171" i="10"/>
  <c r="K194" i="10" s="1"/>
  <c r="U194" i="10" s="1"/>
  <c r="E194" i="10"/>
  <c r="Q194" i="10" s="1"/>
  <c r="H176" i="1"/>
  <c r="S176" i="1" s="1"/>
  <c r="L170" i="10"/>
  <c r="I193" i="10" s="1"/>
  <c r="T193" i="10" s="1"/>
  <c r="D193" i="10"/>
  <c r="P193" i="10" s="1"/>
  <c r="G175" i="1"/>
  <c r="R175" i="1" s="1"/>
  <c r="K169" i="10"/>
  <c r="H192" i="10" s="1"/>
  <c r="S192" i="10" s="1"/>
  <c r="C192" i="10"/>
  <c r="E174" i="1"/>
  <c r="Q174" i="1" s="1"/>
  <c r="I168" i="10"/>
  <c r="F191" i="10" s="1"/>
  <c r="R191" i="10" s="1"/>
  <c r="J173" i="1"/>
  <c r="T173" i="1" s="1"/>
  <c r="M167" i="10"/>
  <c r="K190" i="10" s="1"/>
  <c r="U190" i="10" s="1"/>
  <c r="E190" i="10"/>
  <c r="Q190" i="10" s="1"/>
  <c r="H172" i="1"/>
  <c r="S172" i="1" s="1"/>
  <c r="L166" i="10"/>
  <c r="I189" i="10" s="1"/>
  <c r="T189" i="10" s="1"/>
  <c r="D189" i="10"/>
  <c r="P189" i="10" s="1"/>
  <c r="G171" i="1"/>
  <c r="R171" i="1" s="1"/>
  <c r="K165" i="10"/>
  <c r="H188" i="10" s="1"/>
  <c r="S188" i="10" s="1"/>
  <c r="C188" i="10"/>
  <c r="E170" i="1"/>
  <c r="Q170" i="1" s="1"/>
  <c r="I164" i="10"/>
  <c r="F187" i="10" s="1"/>
  <c r="R187" i="10" s="1"/>
  <c r="J169" i="1"/>
  <c r="T169" i="1" s="1"/>
  <c r="M163" i="10"/>
  <c r="K186" i="10" s="1"/>
  <c r="U186" i="10" s="1"/>
  <c r="D169" i="1"/>
  <c r="P169" i="1" s="1"/>
  <c r="H163" i="10"/>
  <c r="H167" i="1"/>
  <c r="S167" i="1" s="1"/>
  <c r="L161" i="10"/>
  <c r="I184" i="10" s="1"/>
  <c r="T184" i="10" s="1"/>
  <c r="G184" i="1"/>
  <c r="R184" i="1" s="1"/>
  <c r="K178" i="10"/>
  <c r="H201" i="10" s="1"/>
  <c r="S201" i="10" s="1"/>
  <c r="C201" i="10"/>
  <c r="E183" i="1"/>
  <c r="Q183" i="1" s="1"/>
  <c r="I177" i="10"/>
  <c r="F200" i="10" s="1"/>
  <c r="R200" i="10" s="1"/>
  <c r="E199" i="10"/>
  <c r="Q199" i="10" s="1"/>
  <c r="H181" i="1"/>
  <c r="S181" i="1" s="1"/>
  <c r="L175" i="10"/>
  <c r="I198" i="10" s="1"/>
  <c r="T198" i="10" s="1"/>
  <c r="D198" i="10"/>
  <c r="P198" i="10" s="1"/>
  <c r="G180" i="1"/>
  <c r="R180" i="1" s="1"/>
  <c r="K174" i="10"/>
  <c r="H197" i="10" s="1"/>
  <c r="S197" i="10" s="1"/>
  <c r="B180" i="1"/>
  <c r="N180" i="1" s="1"/>
  <c r="E174" i="10"/>
  <c r="J178" i="1"/>
  <c r="T178" i="1" s="1"/>
  <c r="M172" i="10"/>
  <c r="K195" i="10" s="1"/>
  <c r="U195" i="10" s="1"/>
  <c r="D178" i="1"/>
  <c r="P178" i="1" s="1"/>
  <c r="H172" i="10"/>
  <c r="H177" i="1"/>
  <c r="S177" i="1" s="1"/>
  <c r="L171" i="10"/>
  <c r="I194" i="10" s="1"/>
  <c r="T194" i="10" s="1"/>
  <c r="C177" i="1"/>
  <c r="O177" i="1" s="1"/>
  <c r="F171" i="10"/>
  <c r="G176" i="1"/>
  <c r="R176" i="1" s="1"/>
  <c r="K170" i="10"/>
  <c r="H193" i="10" s="1"/>
  <c r="S193" i="10" s="1"/>
  <c r="B176" i="1"/>
  <c r="N176" i="1" s="1"/>
  <c r="E170" i="10"/>
  <c r="D174" i="1"/>
  <c r="P174" i="1" s="1"/>
  <c r="H168" i="10"/>
  <c r="H173" i="1"/>
  <c r="S173" i="1" s="1"/>
  <c r="L167" i="10"/>
  <c r="I190" i="10" s="1"/>
  <c r="T190" i="10" s="1"/>
  <c r="C173" i="1"/>
  <c r="O173" i="1" s="1"/>
  <c r="F167" i="10"/>
  <c r="G172" i="1"/>
  <c r="R172" i="1" s="1"/>
  <c r="K166" i="10"/>
  <c r="H189" i="10" s="1"/>
  <c r="S189" i="10" s="1"/>
  <c r="C189" i="10"/>
  <c r="E171" i="1"/>
  <c r="Q171" i="1" s="1"/>
  <c r="I165" i="10"/>
  <c r="F188" i="10" s="1"/>
  <c r="R188" i="10" s="1"/>
  <c r="J170" i="1"/>
  <c r="T170" i="1" s="1"/>
  <c r="M164" i="10"/>
  <c r="K187" i="10" s="1"/>
  <c r="U187" i="10" s="1"/>
  <c r="D170" i="1"/>
  <c r="P170" i="1" s="1"/>
  <c r="H164" i="10"/>
  <c r="E187" i="10" s="1"/>
  <c r="C169" i="1"/>
  <c r="O169" i="1" s="1"/>
  <c r="F163" i="10"/>
  <c r="E167" i="1"/>
  <c r="Q167" i="1" s="1"/>
  <c r="I161" i="10"/>
  <c r="F184" i="10" s="1"/>
  <c r="R184" i="10" s="1"/>
  <c r="J168" i="1"/>
  <c r="T168" i="1" s="1"/>
  <c r="M162" i="10"/>
  <c r="K185" i="10" s="1"/>
  <c r="U185" i="10" s="1"/>
  <c r="E43" i="2"/>
  <c r="D6" i="7" s="1"/>
  <c r="B6" i="7" s="1"/>
  <c r="F51" i="2"/>
  <c r="E14" i="7" s="1"/>
  <c r="E45" i="2"/>
  <c r="D8" i="7" s="1"/>
  <c r="A8" i="7" s="1"/>
  <c r="E47" i="2"/>
  <c r="D10" i="7" s="1"/>
  <c r="C10" i="7" s="1"/>
  <c r="L47" i="1"/>
  <c r="K47" i="1"/>
  <c r="J59" i="1"/>
  <c r="M59" i="1" s="1"/>
  <c r="J60" i="1"/>
  <c r="M60" i="1" s="1"/>
  <c r="N60" i="1" s="1"/>
  <c r="AD19" i="1" s="1"/>
  <c r="G69" i="1"/>
  <c r="K69" i="1" s="1"/>
  <c r="G77" i="1"/>
  <c r="K77" i="1" s="1"/>
  <c r="G73" i="1"/>
  <c r="K73" i="1" s="1"/>
  <c r="S138" i="1"/>
  <c r="T138" i="1" s="1"/>
  <c r="J65" i="1"/>
  <c r="M65" i="1" s="1"/>
  <c r="H65" i="1"/>
  <c r="L65" i="1" s="1"/>
  <c r="K119" i="1"/>
  <c r="H81" i="1"/>
  <c r="L81" i="1" s="1"/>
  <c r="R138" i="1"/>
  <c r="H73" i="1"/>
  <c r="L73" i="1" s="1"/>
  <c r="H77" i="1"/>
  <c r="L77" i="1" s="1"/>
  <c r="H134" i="1"/>
  <c r="J134" i="1" s="1"/>
  <c r="O134" i="1" s="1"/>
  <c r="H131" i="1"/>
  <c r="J131" i="1" s="1"/>
  <c r="P131" i="1" s="1"/>
  <c r="Q131" i="1" s="1"/>
  <c r="H62" i="1"/>
  <c r="L62" i="1" s="1"/>
  <c r="S159" i="1"/>
  <c r="T159" i="1" s="1"/>
  <c r="K120" i="1"/>
  <c r="G62" i="1"/>
  <c r="K62" i="1" s="1"/>
  <c r="H66" i="1"/>
  <c r="L66" i="1" s="1"/>
  <c r="K130" i="1"/>
  <c r="H132" i="1"/>
  <c r="J132" i="1" s="1"/>
  <c r="P132" i="1" s="1"/>
  <c r="Q132" i="1" s="1"/>
  <c r="L123" i="1"/>
  <c r="M123" i="1" s="1"/>
  <c r="C4" i="6"/>
  <c r="C6" i="6"/>
  <c r="C8" i="6"/>
  <c r="C10" i="6"/>
  <c r="C12" i="6"/>
  <c r="C14" i="6"/>
  <c r="C16" i="6"/>
  <c r="C5" i="6"/>
  <c r="C7" i="6"/>
  <c r="C9" i="6"/>
  <c r="C11" i="6"/>
  <c r="C13" i="6"/>
  <c r="C15" i="6"/>
  <c r="H112" i="1"/>
  <c r="J112" i="1" s="1"/>
  <c r="P112" i="1" s="1"/>
  <c r="Q112" i="1" s="1"/>
  <c r="H116" i="1"/>
  <c r="J116" i="1" s="1"/>
  <c r="P116" i="1" s="1"/>
  <c r="Q116" i="1" s="1"/>
  <c r="H120" i="1"/>
  <c r="J120" i="1" s="1"/>
  <c r="P120" i="1" s="1"/>
  <c r="Q120" i="1" s="1"/>
  <c r="H128" i="1"/>
  <c r="J128" i="1" s="1"/>
  <c r="P128" i="1" s="1"/>
  <c r="Q128" i="1" s="1"/>
  <c r="H136" i="1"/>
  <c r="J136" i="1" s="1"/>
  <c r="O136" i="1" s="1"/>
  <c r="S149" i="1"/>
  <c r="U149" i="1" s="1"/>
  <c r="F44" i="2"/>
  <c r="E7" i="7" s="1"/>
  <c r="E3" i="7"/>
  <c r="E50" i="2"/>
  <c r="D13" i="7" s="1"/>
  <c r="E48" i="2"/>
  <c r="D11" i="7" s="1"/>
  <c r="C11" i="7" s="1"/>
  <c r="E42" i="2"/>
  <c r="D5" i="7" s="1"/>
  <c r="A5" i="7" s="1"/>
  <c r="C9" i="7"/>
  <c r="B9" i="7"/>
  <c r="A9" i="7"/>
  <c r="A7" i="7"/>
  <c r="B7" i="7"/>
  <c r="C7" i="7"/>
  <c r="B12" i="7"/>
  <c r="A12" i="7"/>
  <c r="C12" i="7"/>
  <c r="B10" i="7"/>
  <c r="A6" i="7"/>
  <c r="B4" i="7"/>
  <c r="A4" i="7"/>
  <c r="C4" i="7"/>
  <c r="E204" i="1"/>
  <c r="G204" i="1" s="1"/>
  <c r="L135" i="1"/>
  <c r="M135" i="1" s="1"/>
  <c r="C172" i="1"/>
  <c r="O172" i="1" s="1"/>
  <c r="L52" i="1"/>
  <c r="C212" i="1"/>
  <c r="G212" i="1" s="1"/>
  <c r="K126" i="1"/>
  <c r="R126" i="1"/>
  <c r="L50" i="1"/>
  <c r="H119" i="1"/>
  <c r="J119" i="1" s="1"/>
  <c r="P119" i="1" s="1"/>
  <c r="Q119" i="1" s="1"/>
  <c r="H135" i="1"/>
  <c r="J135" i="1" s="1"/>
  <c r="O135" i="1" s="1"/>
  <c r="M158" i="1"/>
  <c r="R158" i="1" s="1"/>
  <c r="E196" i="1"/>
  <c r="G196" i="1" s="1"/>
  <c r="E195" i="1"/>
  <c r="G195" i="1" s="1"/>
  <c r="S146" i="1"/>
  <c r="T146" i="1" s="1"/>
  <c r="M161" i="1"/>
  <c r="Q161" i="1" s="1"/>
  <c r="S148" i="1"/>
  <c r="U148" i="1" s="1"/>
  <c r="N68" i="1"/>
  <c r="L129" i="1"/>
  <c r="M129" i="1" s="1"/>
  <c r="K129" i="1"/>
  <c r="H113" i="1"/>
  <c r="J113" i="1" s="1"/>
  <c r="P113" i="1" s="1"/>
  <c r="Q113" i="1" s="1"/>
  <c r="H125" i="1"/>
  <c r="J125" i="1" s="1"/>
  <c r="P125" i="1" s="1"/>
  <c r="Q125" i="1" s="1"/>
  <c r="H124" i="1"/>
  <c r="J124" i="1" s="1"/>
  <c r="P124" i="1" s="1"/>
  <c r="Q124" i="1" s="1"/>
  <c r="G114" i="1"/>
  <c r="R114" i="1" s="1"/>
  <c r="H59" i="1"/>
  <c r="L59" i="1" s="1"/>
  <c r="L127" i="1"/>
  <c r="M127" i="1" s="1"/>
  <c r="L121" i="1"/>
  <c r="M121" i="1" s="1"/>
  <c r="D184" i="1"/>
  <c r="P184" i="1" s="1"/>
  <c r="G63" i="1"/>
  <c r="K63" i="1" s="1"/>
  <c r="N63" i="1" s="1"/>
  <c r="AD22" i="1" s="1"/>
  <c r="J74" i="1"/>
  <c r="M74" i="1" s="1"/>
  <c r="H69" i="1"/>
  <c r="L69" i="1" s="1"/>
  <c r="H114" i="1"/>
  <c r="J114" i="1" s="1"/>
  <c r="O114" i="1" s="1"/>
  <c r="H118" i="1"/>
  <c r="J118" i="1" s="1"/>
  <c r="P118" i="1" s="1"/>
  <c r="Q118" i="1" s="1"/>
  <c r="H122" i="1"/>
  <c r="J122" i="1" s="1"/>
  <c r="O122" i="1" s="1"/>
  <c r="H126" i="1"/>
  <c r="J126" i="1" s="1"/>
  <c r="P126" i="1" s="1"/>
  <c r="Q126" i="1" s="1"/>
  <c r="H130" i="1"/>
  <c r="J130" i="1" s="1"/>
  <c r="P130" i="1" s="1"/>
  <c r="Q130" i="1" s="1"/>
  <c r="H138" i="1"/>
  <c r="J138" i="1" s="1"/>
  <c r="O138" i="1" s="1"/>
  <c r="H115" i="1"/>
  <c r="J115" i="1" s="1"/>
  <c r="O115" i="1" s="1"/>
  <c r="H123" i="1"/>
  <c r="J123" i="1" s="1"/>
  <c r="O123" i="1" s="1"/>
  <c r="H127" i="1"/>
  <c r="J127" i="1" s="1"/>
  <c r="O127" i="1" s="1"/>
  <c r="G113" i="1"/>
  <c r="S113" i="1" s="1"/>
  <c r="T113" i="1" s="1"/>
  <c r="M160" i="1"/>
  <c r="R160" i="1" s="1"/>
  <c r="H133" i="1"/>
  <c r="J133" i="1" s="1"/>
  <c r="O133" i="1" s="1"/>
  <c r="E192" i="1"/>
  <c r="G192" i="1" s="1"/>
  <c r="R129" i="1"/>
  <c r="G74" i="1"/>
  <c r="K74" i="1" s="1"/>
  <c r="H84" i="1"/>
  <c r="L84" i="1" s="1"/>
  <c r="C216" i="1"/>
  <c r="E216" i="1" s="1"/>
  <c r="C213" i="1"/>
  <c r="D213" i="1" s="1"/>
  <c r="S112" i="1"/>
  <c r="E203" i="1"/>
  <c r="G203" i="1" s="1"/>
  <c r="G61" i="1"/>
  <c r="K61" i="1" s="1"/>
  <c r="S120" i="1"/>
  <c r="T120" i="1" s="1"/>
  <c r="K112" i="1"/>
  <c r="R112" i="1"/>
  <c r="L118" i="1"/>
  <c r="M118" i="1" s="1"/>
  <c r="G115" i="1"/>
  <c r="K115" i="1" s="1"/>
  <c r="M151" i="1"/>
  <c r="M147" i="1"/>
  <c r="Q147" i="1" s="1"/>
  <c r="H79" i="1"/>
  <c r="L79" i="1" s="1"/>
  <c r="G82" i="1"/>
  <c r="K82" i="1" s="1"/>
  <c r="L56" i="1"/>
  <c r="J84" i="1"/>
  <c r="M84" i="1" s="1"/>
  <c r="R120" i="1"/>
  <c r="C228" i="1"/>
  <c r="G228" i="1" s="1"/>
  <c r="C214" i="1"/>
  <c r="H214" i="1" s="1"/>
  <c r="K135" i="1"/>
  <c r="J71" i="1"/>
  <c r="M71" i="1" s="1"/>
  <c r="J82" i="1"/>
  <c r="M82" i="1" s="1"/>
  <c r="C218" i="1"/>
  <c r="E218" i="1" s="1"/>
  <c r="S151" i="1"/>
  <c r="T151" i="1" s="1"/>
  <c r="H64" i="1"/>
  <c r="L64" i="1" s="1"/>
  <c r="G64" i="1"/>
  <c r="K64" i="1" s="1"/>
  <c r="C174" i="1"/>
  <c r="O174" i="1" s="1"/>
  <c r="C217" i="1"/>
  <c r="E217" i="1" s="1"/>
  <c r="S135" i="1"/>
  <c r="T135" i="1" s="1"/>
  <c r="S126" i="1"/>
  <c r="T126" i="1" s="1"/>
  <c r="E201" i="1"/>
  <c r="G201" i="1" s="1"/>
  <c r="S156" i="1"/>
  <c r="U156" i="1" s="1"/>
  <c r="M156" i="1"/>
  <c r="N156" i="1" s="1"/>
  <c r="O156" i="1" s="1"/>
  <c r="C179" i="1"/>
  <c r="O179" i="1" s="1"/>
  <c r="S152" i="1"/>
  <c r="M152" i="1"/>
  <c r="E197" i="1"/>
  <c r="G197" i="1" s="1"/>
  <c r="B175" i="1"/>
  <c r="C219" i="1"/>
  <c r="G219" i="1" s="1"/>
  <c r="C224" i="1"/>
  <c r="K224" i="1" s="1"/>
  <c r="E202" i="1"/>
  <c r="G202" i="1" s="1"/>
  <c r="D180" i="1"/>
  <c r="P180" i="1" s="1"/>
  <c r="C221" i="1"/>
  <c r="J221" i="1" s="1"/>
  <c r="E177" i="1"/>
  <c r="Q177" i="1" s="1"/>
  <c r="S154" i="1"/>
  <c r="U154" i="1" s="1"/>
  <c r="C220" i="1"/>
  <c r="M153" i="1"/>
  <c r="E176" i="1"/>
  <c r="Q176" i="1" s="1"/>
  <c r="S153" i="1"/>
  <c r="E206" i="1"/>
  <c r="G206" i="1" s="1"/>
  <c r="S161" i="1"/>
  <c r="B184" i="1"/>
  <c r="B183" i="1"/>
  <c r="C227" i="1"/>
  <c r="S160" i="1"/>
  <c r="M155" i="1"/>
  <c r="S155" i="1"/>
  <c r="E200" i="1"/>
  <c r="G200" i="1" s="1"/>
  <c r="C222" i="1"/>
  <c r="B167" i="1"/>
  <c r="N167" i="1" s="1"/>
  <c r="C211" i="1"/>
  <c r="M144" i="1"/>
  <c r="Q144" i="1" s="1"/>
  <c r="E189" i="1"/>
  <c r="G189" i="1" s="1"/>
  <c r="S144" i="1"/>
  <c r="S122" i="1"/>
  <c r="T122" i="1" s="1"/>
  <c r="R122" i="1"/>
  <c r="L122" i="1"/>
  <c r="M122" i="1" s="1"/>
  <c r="K122" i="1"/>
  <c r="R125" i="1"/>
  <c r="K125" i="1"/>
  <c r="S125" i="1"/>
  <c r="T125" i="1" s="1"/>
  <c r="L125" i="1"/>
  <c r="M125" i="1" s="1"/>
  <c r="K53" i="1"/>
  <c r="L53" i="1"/>
  <c r="K137" i="1"/>
  <c r="L137" i="1"/>
  <c r="M137" i="1" s="1"/>
  <c r="S137" i="1"/>
  <c r="T137" i="1" s="1"/>
  <c r="R137" i="1"/>
  <c r="L133" i="1"/>
  <c r="M133" i="1" s="1"/>
  <c r="S133" i="1"/>
  <c r="T133" i="1" s="1"/>
  <c r="K133" i="1"/>
  <c r="R133" i="1"/>
  <c r="S117" i="1"/>
  <c r="T117" i="1" s="1"/>
  <c r="L117" i="1"/>
  <c r="M117" i="1" s="1"/>
  <c r="R117" i="1"/>
  <c r="K124" i="1"/>
  <c r="R124" i="1"/>
  <c r="L124" i="1"/>
  <c r="M124" i="1" s="1"/>
  <c r="L55" i="1"/>
  <c r="S121" i="1"/>
  <c r="T121" i="1" s="1"/>
  <c r="R121" i="1"/>
  <c r="K127" i="1"/>
  <c r="R127" i="1"/>
  <c r="K128" i="1"/>
  <c r="S128" i="1"/>
  <c r="T128" i="1" s="1"/>
  <c r="R128" i="1"/>
  <c r="R116" i="1"/>
  <c r="L116" i="1"/>
  <c r="M116" i="1" s="1"/>
  <c r="K116" i="1"/>
  <c r="E205" i="1"/>
  <c r="G205" i="1" s="1"/>
  <c r="C176" i="1"/>
  <c r="O176" i="1" s="1"/>
  <c r="E198" i="1"/>
  <c r="G198" i="1" s="1"/>
  <c r="M149" i="1"/>
  <c r="E194" i="1"/>
  <c r="G194" i="1" s="1"/>
  <c r="E193" i="1"/>
  <c r="G193" i="1" s="1"/>
  <c r="B171" i="1"/>
  <c r="N171" i="1" s="1"/>
  <c r="C215" i="1"/>
  <c r="D215" i="1" s="1"/>
  <c r="M148" i="1"/>
  <c r="S145" i="1"/>
  <c r="U145" i="1" s="1"/>
  <c r="K136" i="1"/>
  <c r="L136" i="1"/>
  <c r="M136" i="1" s="1"/>
  <c r="S136" i="1"/>
  <c r="T136" i="1" s="1"/>
  <c r="R136" i="1"/>
  <c r="K132" i="1"/>
  <c r="R132" i="1"/>
  <c r="L132" i="1"/>
  <c r="M132" i="1" s="1"/>
  <c r="C226" i="1"/>
  <c r="D226" i="1" s="1"/>
  <c r="D182" i="1"/>
  <c r="P182" i="1" s="1"/>
  <c r="C180" i="1"/>
  <c r="O180" i="1" s="1"/>
  <c r="M157" i="1"/>
  <c r="S157" i="1"/>
  <c r="C223" i="1"/>
  <c r="J223" i="1" s="1"/>
  <c r="D177" i="1"/>
  <c r="P177" i="1" s="1"/>
  <c r="E199" i="1"/>
  <c r="G199" i="1" s="1"/>
  <c r="R123" i="1"/>
  <c r="S123" i="1"/>
  <c r="T123" i="1" s="1"/>
  <c r="C182" i="1"/>
  <c r="M159" i="1"/>
  <c r="Q159" i="1" s="1"/>
  <c r="C181" i="1"/>
  <c r="S158" i="1"/>
  <c r="U158" i="1" s="1"/>
  <c r="S147" i="1"/>
  <c r="B170" i="1"/>
  <c r="M146" i="1"/>
  <c r="B169" i="1"/>
  <c r="E191" i="1"/>
  <c r="G191" i="1" s="1"/>
  <c r="E168" i="1"/>
  <c r="Q168" i="1" s="1"/>
  <c r="E190" i="1"/>
  <c r="G190" i="1" s="1"/>
  <c r="M145" i="1"/>
  <c r="S150" i="1"/>
  <c r="U150" i="1" s="1"/>
  <c r="B173" i="1"/>
  <c r="M150" i="1"/>
  <c r="R150" i="1" s="1"/>
  <c r="K54" i="1"/>
  <c r="C225" i="1"/>
  <c r="L48" i="1"/>
  <c r="K134" i="1"/>
  <c r="L134" i="1"/>
  <c r="M134" i="1" s="1"/>
  <c r="N179" i="1"/>
  <c r="K118" i="1"/>
  <c r="S118" i="1"/>
  <c r="T118" i="1" s="1"/>
  <c r="L49" i="1"/>
  <c r="K49" i="1"/>
  <c r="H117" i="1"/>
  <c r="J117" i="1" s="1"/>
  <c r="O117" i="1" s="1"/>
  <c r="H137" i="1"/>
  <c r="J137" i="1" s="1"/>
  <c r="O137" i="1" s="1"/>
  <c r="H58" i="1"/>
  <c r="L58" i="1" s="1"/>
  <c r="G58" i="1"/>
  <c r="K58" i="1" s="1"/>
  <c r="N83" i="1"/>
  <c r="Q83" i="1" s="1"/>
  <c r="N75" i="1"/>
  <c r="S130" i="1"/>
  <c r="T130" i="1" s="1"/>
  <c r="R130" i="1"/>
  <c r="K131" i="1"/>
  <c r="L131" i="1"/>
  <c r="S131" i="1"/>
  <c r="T131" i="1" s="1"/>
  <c r="H121" i="1"/>
  <c r="J121" i="1" s="1"/>
  <c r="O121" i="1" s="1"/>
  <c r="H129" i="1"/>
  <c r="J129" i="1" s="1"/>
  <c r="G168" i="1"/>
  <c r="G70" i="1"/>
  <c r="K70" i="1" s="1"/>
  <c r="J70" i="1"/>
  <c r="M70" i="1" s="1"/>
  <c r="H78" i="1"/>
  <c r="L78" i="1" s="1"/>
  <c r="J78" i="1"/>
  <c r="M78" i="1" s="1"/>
  <c r="G78" i="1"/>
  <c r="K78" i="1" s="1"/>
  <c r="C3" i="7"/>
  <c r="J72" i="1"/>
  <c r="M72" i="1" s="1"/>
  <c r="H72" i="1"/>
  <c r="L72" i="1" s="1"/>
  <c r="J76" i="1"/>
  <c r="M76" i="1" s="1"/>
  <c r="G76" i="1"/>
  <c r="K76" i="1" s="1"/>
  <c r="H76" i="1"/>
  <c r="L76" i="1" s="1"/>
  <c r="J80" i="1"/>
  <c r="M80" i="1" s="1"/>
  <c r="G80" i="1"/>
  <c r="K80" i="1" s="1"/>
  <c r="M154" i="1"/>
  <c r="K51" i="1"/>
  <c r="H80" i="1"/>
  <c r="L80" i="1" s="1"/>
  <c r="G72" i="1"/>
  <c r="K72" i="1" s="1"/>
  <c r="P84" i="1"/>
  <c r="R81" i="1"/>
  <c r="R83" i="1"/>
  <c r="T84" i="1"/>
  <c r="T81" i="1"/>
  <c r="P83" i="1"/>
  <c r="S119" i="1"/>
  <c r="T119" i="1" s="1"/>
  <c r="Q75" i="1" l="1"/>
  <c r="AD34" i="1"/>
  <c r="O75" i="1"/>
  <c r="Q68" i="1"/>
  <c r="AD27" i="1"/>
  <c r="AS22" i="1"/>
  <c r="AN22" i="1"/>
  <c r="AR22" i="1" s="1"/>
  <c r="BH22" i="1" s="1"/>
  <c r="AH22" i="1"/>
  <c r="AE22" i="1"/>
  <c r="AK22" i="1"/>
  <c r="AN19" i="1"/>
  <c r="AR19" i="1" s="1"/>
  <c r="BH19" i="1" s="1"/>
  <c r="AH19" i="1"/>
  <c r="AE19" i="1"/>
  <c r="AS19" i="1"/>
  <c r="AK19" i="1"/>
  <c r="C6" i="7"/>
  <c r="A10" i="7"/>
  <c r="A3" i="7"/>
  <c r="N67" i="1"/>
  <c r="Q67" i="1" s="1"/>
  <c r="N61" i="1"/>
  <c r="AD20" i="1" s="1"/>
  <c r="O68" i="1"/>
  <c r="T68" i="1" s="1"/>
  <c r="C8" i="7"/>
  <c r="B8" i="7"/>
  <c r="U178" i="1"/>
  <c r="N81" i="1"/>
  <c r="Q81" i="1" s="1"/>
  <c r="V81" i="1" s="1"/>
  <c r="O131" i="1"/>
  <c r="U167" i="1"/>
  <c r="M48" i="10"/>
  <c r="L48" i="10"/>
  <c r="L56" i="10"/>
  <c r="M56" i="10"/>
  <c r="M55" i="10"/>
  <c r="L55" i="10"/>
  <c r="M52" i="10"/>
  <c r="L52" i="10"/>
  <c r="L54" i="10"/>
  <c r="M54" i="10"/>
  <c r="L50" i="10"/>
  <c r="M50" i="10"/>
  <c r="M51" i="10"/>
  <c r="L51" i="10"/>
  <c r="T112" i="1"/>
  <c r="N178" i="10"/>
  <c r="Q178" i="10" s="1"/>
  <c r="F207" i="10"/>
  <c r="H207" i="10" s="1"/>
  <c r="F213" i="10"/>
  <c r="H213" i="10" s="1"/>
  <c r="F206" i="10"/>
  <c r="T169" i="10"/>
  <c r="V169" i="10" s="1"/>
  <c r="N173" i="10"/>
  <c r="S173" i="10" s="1"/>
  <c r="T161" i="10"/>
  <c r="V161" i="10" s="1"/>
  <c r="N166" i="10"/>
  <c r="F212" i="10"/>
  <c r="H212" i="10" s="1"/>
  <c r="D190" i="10"/>
  <c r="P190" i="10" s="1"/>
  <c r="E191" i="10"/>
  <c r="Q191" i="10" s="1"/>
  <c r="D235" i="10"/>
  <c r="O201" i="10"/>
  <c r="N165" i="10"/>
  <c r="D234" i="10"/>
  <c r="O192" i="10"/>
  <c r="N177" i="10"/>
  <c r="D232" i="10"/>
  <c r="E188" i="10"/>
  <c r="Q188" i="10" s="1"/>
  <c r="O190" i="10"/>
  <c r="C185" i="10"/>
  <c r="T162" i="10"/>
  <c r="N162" i="10"/>
  <c r="O187" i="10"/>
  <c r="F210" i="10"/>
  <c r="H210" i="10" s="1"/>
  <c r="T163" i="10"/>
  <c r="E192" i="10"/>
  <c r="Q192" i="10" s="1"/>
  <c r="D236" i="10"/>
  <c r="C198" i="10"/>
  <c r="T175" i="10"/>
  <c r="N175" i="10"/>
  <c r="E200" i="10"/>
  <c r="Q200" i="10" s="1"/>
  <c r="D244" i="10"/>
  <c r="U159" i="1"/>
  <c r="U171" i="1"/>
  <c r="Q187" i="10"/>
  <c r="D231" i="10"/>
  <c r="O189" i="10"/>
  <c r="E186" i="10"/>
  <c r="Q186" i="10" s="1"/>
  <c r="D230" i="10"/>
  <c r="O188" i="10"/>
  <c r="F211" i="10"/>
  <c r="H211" i="10" s="1"/>
  <c r="T173" i="10"/>
  <c r="T177" i="10"/>
  <c r="F223" i="10"/>
  <c r="H223" i="10" s="1"/>
  <c r="D201" i="10"/>
  <c r="P201" i="10" s="1"/>
  <c r="C194" i="10"/>
  <c r="N171" i="10"/>
  <c r="T171" i="10"/>
  <c r="F217" i="10"/>
  <c r="H217" i="10" s="1"/>
  <c r="D195" i="10"/>
  <c r="P195" i="10" s="1"/>
  <c r="D240" i="10"/>
  <c r="E196" i="10"/>
  <c r="Q196" i="10" s="1"/>
  <c r="N176" i="10"/>
  <c r="T176" i="10"/>
  <c r="C199" i="10"/>
  <c r="D200" i="10"/>
  <c r="P200" i="10" s="1"/>
  <c r="F222" i="10"/>
  <c r="H222" i="10" s="1"/>
  <c r="D245" i="10"/>
  <c r="E184" i="10"/>
  <c r="Q184" i="10" s="1"/>
  <c r="D228" i="10"/>
  <c r="H228" i="10" s="1"/>
  <c r="O186" i="10"/>
  <c r="C193" i="10"/>
  <c r="N170" i="10"/>
  <c r="T170" i="10"/>
  <c r="F216" i="10"/>
  <c r="H216" i="10" s="1"/>
  <c r="D194" i="10"/>
  <c r="P194" i="10" s="1"/>
  <c r="D239" i="10"/>
  <c r="E195" i="10"/>
  <c r="Q195" i="10" s="1"/>
  <c r="C197" i="10"/>
  <c r="T174" i="10"/>
  <c r="N174" i="10"/>
  <c r="R178" i="10"/>
  <c r="F219" i="10"/>
  <c r="H219" i="10" s="1"/>
  <c r="E198" i="10"/>
  <c r="Q198" i="10" s="1"/>
  <c r="D242" i="10"/>
  <c r="O200" i="10"/>
  <c r="D185" i="10"/>
  <c r="P185" i="10" s="1"/>
  <c r="D187" i="10"/>
  <c r="P187" i="10" s="1"/>
  <c r="F209" i="10"/>
  <c r="H209" i="10" s="1"/>
  <c r="N167" i="10"/>
  <c r="D184" i="10"/>
  <c r="P184" i="10" s="1"/>
  <c r="T164" i="10"/>
  <c r="F221" i="10"/>
  <c r="H221" i="10" s="1"/>
  <c r="K178" i="1"/>
  <c r="F208" i="10"/>
  <c r="H208" i="10" s="1"/>
  <c r="D186" i="10"/>
  <c r="P186" i="10" s="1"/>
  <c r="T166" i="10"/>
  <c r="F220" i="10"/>
  <c r="H220" i="10" s="1"/>
  <c r="D243" i="10"/>
  <c r="T178" i="10"/>
  <c r="T165" i="10"/>
  <c r="N169" i="10"/>
  <c r="F215" i="10"/>
  <c r="H215" i="10" s="1"/>
  <c r="D238" i="10"/>
  <c r="O196" i="10"/>
  <c r="T167" i="10"/>
  <c r="N161" i="10"/>
  <c r="N164" i="10"/>
  <c r="E189" i="10"/>
  <c r="Q189" i="10" s="1"/>
  <c r="D233" i="10"/>
  <c r="C191" i="10"/>
  <c r="N168" i="10"/>
  <c r="T168" i="10"/>
  <c r="D192" i="10"/>
  <c r="P192" i="10" s="1"/>
  <c r="F214" i="10"/>
  <c r="H214" i="10" s="1"/>
  <c r="E193" i="10"/>
  <c r="Q193" i="10" s="1"/>
  <c r="D237" i="10"/>
  <c r="C195" i="10"/>
  <c r="N172" i="10"/>
  <c r="T172" i="10"/>
  <c r="F218" i="10"/>
  <c r="H218" i="10" s="1"/>
  <c r="D241" i="10"/>
  <c r="D229" i="10"/>
  <c r="E185" i="10"/>
  <c r="Q185" i="10" s="1"/>
  <c r="N163" i="10"/>
  <c r="L115" i="1"/>
  <c r="M115" i="1" s="1"/>
  <c r="AO45" i="10"/>
  <c r="AB17" i="10"/>
  <c r="BK17" i="10"/>
  <c r="N62" i="1"/>
  <c r="AD21" i="1" s="1"/>
  <c r="N69" i="1"/>
  <c r="AD28" i="1" s="1"/>
  <c r="H212" i="1"/>
  <c r="P158" i="1"/>
  <c r="P136" i="1"/>
  <c r="Q136" i="1" s="1"/>
  <c r="O132" i="1"/>
  <c r="B5" i="7"/>
  <c r="C5" i="7"/>
  <c r="A11" i="7"/>
  <c r="N59" i="1"/>
  <c r="AD18" i="1" s="1"/>
  <c r="P134" i="1"/>
  <c r="Q134" i="1" s="1"/>
  <c r="O126" i="1"/>
  <c r="N77" i="1"/>
  <c r="N65" i="1"/>
  <c r="O112" i="1"/>
  <c r="P122" i="1"/>
  <c r="Q122" i="1" s="1"/>
  <c r="E226" i="1"/>
  <c r="O113" i="1"/>
  <c r="N73" i="1"/>
  <c r="E212" i="1"/>
  <c r="P161" i="1"/>
  <c r="O125" i="1"/>
  <c r="N158" i="1"/>
  <c r="O158" i="1" s="1"/>
  <c r="Q158" i="1"/>
  <c r="O120" i="1"/>
  <c r="D212" i="1"/>
  <c r="R161" i="1"/>
  <c r="N161" i="1"/>
  <c r="O161" i="1" s="1"/>
  <c r="K212" i="1"/>
  <c r="P138" i="1"/>
  <c r="Q138" i="1" s="1"/>
  <c r="O128" i="1"/>
  <c r="P114" i="1"/>
  <c r="Q114" i="1" s="1"/>
  <c r="N160" i="1"/>
  <c r="O160" i="1" s="1"/>
  <c r="O124" i="1"/>
  <c r="P123" i="1"/>
  <c r="Q123" i="1" s="1"/>
  <c r="H228" i="1"/>
  <c r="U151" i="1"/>
  <c r="S114" i="1"/>
  <c r="T114" i="1" s="1"/>
  <c r="K171" i="1"/>
  <c r="O118" i="1"/>
  <c r="O119" i="1"/>
  <c r="E224" i="1"/>
  <c r="H219" i="1"/>
  <c r="U146" i="1"/>
  <c r="U177" i="1"/>
  <c r="J214" i="1"/>
  <c r="P147" i="1"/>
  <c r="E213" i="1"/>
  <c r="K114" i="1"/>
  <c r="O116" i="1"/>
  <c r="G218" i="1"/>
  <c r="T156" i="1"/>
  <c r="T149" i="1"/>
  <c r="K113" i="1"/>
  <c r="H213" i="1"/>
  <c r="T148" i="1"/>
  <c r="K213" i="1"/>
  <c r="K221" i="1"/>
  <c r="R113" i="1"/>
  <c r="J213" i="1"/>
  <c r="L113" i="1"/>
  <c r="M113" i="1" s="1"/>
  <c r="K167" i="1"/>
  <c r="T150" i="1"/>
  <c r="Q160" i="1"/>
  <c r="P135" i="1"/>
  <c r="Q135" i="1" s="1"/>
  <c r="R147" i="1"/>
  <c r="R115" i="1"/>
  <c r="J212" i="1"/>
  <c r="G217" i="1"/>
  <c r="O130" i="1"/>
  <c r="S115" i="1"/>
  <c r="T115" i="1" s="1"/>
  <c r="K172" i="1"/>
  <c r="D217" i="1"/>
  <c r="T145" i="1"/>
  <c r="J228" i="1"/>
  <c r="P115" i="1"/>
  <c r="Q115" i="1" s="1"/>
  <c r="P127" i="1"/>
  <c r="Q127" i="1" s="1"/>
  <c r="U179" i="1"/>
  <c r="U172" i="1"/>
  <c r="E228" i="1"/>
  <c r="P160" i="1"/>
  <c r="H216" i="1"/>
  <c r="P117" i="1"/>
  <c r="Q117" i="1" s="1"/>
  <c r="U180" i="1"/>
  <c r="N147" i="1"/>
  <c r="O147" i="1" s="1"/>
  <c r="G213" i="1"/>
  <c r="K174" i="1"/>
  <c r="L114" i="1"/>
  <c r="M114" i="1" s="1"/>
  <c r="G214" i="1"/>
  <c r="J216" i="1"/>
  <c r="D216" i="1"/>
  <c r="B11" i="7"/>
  <c r="N58" i="1"/>
  <c r="AD17" i="1" s="1"/>
  <c r="T158" i="1"/>
  <c r="K217" i="1"/>
  <c r="G216" i="1"/>
  <c r="P159" i="1"/>
  <c r="P156" i="1"/>
  <c r="R159" i="1"/>
  <c r="J224" i="1"/>
  <c r="K214" i="1"/>
  <c r="E214" i="1"/>
  <c r="P133" i="1"/>
  <c r="Q133" i="1" s="1"/>
  <c r="T154" i="1"/>
  <c r="H224" i="1"/>
  <c r="N159" i="1"/>
  <c r="O159" i="1" s="1"/>
  <c r="D214" i="1"/>
  <c r="J217" i="1"/>
  <c r="K216" i="1"/>
  <c r="U174" i="1"/>
  <c r="U176" i="1"/>
  <c r="K180" i="1"/>
  <c r="G207" i="1"/>
  <c r="K228" i="1"/>
  <c r="D228" i="1"/>
  <c r="N151" i="1"/>
  <c r="O151" i="1" s="1"/>
  <c r="R151" i="1"/>
  <c r="Q151" i="1"/>
  <c r="P151" i="1"/>
  <c r="H217" i="1"/>
  <c r="H218" i="1"/>
  <c r="D218" i="1"/>
  <c r="J218" i="1"/>
  <c r="K218" i="1"/>
  <c r="K177" i="1"/>
  <c r="C229" i="1"/>
  <c r="J44" i="1"/>
  <c r="N82" i="1"/>
  <c r="Q82" i="1" s="1"/>
  <c r="V82" i="1" s="1"/>
  <c r="N66" i="1"/>
  <c r="N70" i="1"/>
  <c r="N74" i="1"/>
  <c r="P145" i="1"/>
  <c r="R145" i="1"/>
  <c r="N145" i="1"/>
  <c r="O145" i="1" s="1"/>
  <c r="Q145" i="1"/>
  <c r="AK5" i="6" s="1"/>
  <c r="D223" i="1"/>
  <c r="E223" i="1"/>
  <c r="G223" i="1"/>
  <c r="R155" i="1"/>
  <c r="N155" i="1"/>
  <c r="O155" i="1" s="1"/>
  <c r="Q155" i="1"/>
  <c r="P155" i="1"/>
  <c r="N184" i="1"/>
  <c r="U184" i="1" s="1"/>
  <c r="K184" i="1"/>
  <c r="P121" i="1"/>
  <c r="Q121" i="1" s="1"/>
  <c r="N64" i="1"/>
  <c r="AD23" i="1" s="1"/>
  <c r="E207" i="1"/>
  <c r="N170" i="1"/>
  <c r="U170" i="1" s="1"/>
  <c r="K170" i="1"/>
  <c r="J215" i="1"/>
  <c r="E215" i="1"/>
  <c r="K215" i="1"/>
  <c r="G215" i="1"/>
  <c r="H215" i="1"/>
  <c r="N149" i="1"/>
  <c r="O149" i="1" s="1"/>
  <c r="P149" i="1"/>
  <c r="R149" i="1"/>
  <c r="Q149" i="1"/>
  <c r="P144" i="1"/>
  <c r="AO4" i="6"/>
  <c r="R144" i="1"/>
  <c r="N144" i="1"/>
  <c r="O144" i="1" s="1"/>
  <c r="U155" i="1"/>
  <c r="T155" i="1"/>
  <c r="N183" i="1"/>
  <c r="U183" i="1" s="1"/>
  <c r="K183" i="1"/>
  <c r="K176" i="1"/>
  <c r="G220" i="1"/>
  <c r="E220" i="1"/>
  <c r="K220" i="1"/>
  <c r="H220" i="1"/>
  <c r="D220" i="1"/>
  <c r="J220" i="1"/>
  <c r="K219" i="1"/>
  <c r="J219" i="1"/>
  <c r="E219" i="1"/>
  <c r="D219" i="1"/>
  <c r="T152" i="1"/>
  <c r="U152" i="1"/>
  <c r="P150" i="1"/>
  <c r="Q150" i="1"/>
  <c r="O182" i="1"/>
  <c r="U182" i="1" s="1"/>
  <c r="K182" i="1"/>
  <c r="E211" i="1"/>
  <c r="H211" i="1"/>
  <c r="D211" i="1"/>
  <c r="G211" i="1"/>
  <c r="J211" i="1"/>
  <c r="K211" i="1"/>
  <c r="N175" i="1"/>
  <c r="U175" i="1" s="1"/>
  <c r="K175" i="1"/>
  <c r="H223" i="1"/>
  <c r="K173" i="1"/>
  <c r="N173" i="1"/>
  <c r="U173" i="1" s="1"/>
  <c r="N169" i="1"/>
  <c r="U169" i="1" s="1"/>
  <c r="K169" i="1"/>
  <c r="T157" i="1"/>
  <c r="U157" i="1"/>
  <c r="G226" i="1"/>
  <c r="H226" i="1"/>
  <c r="J226" i="1"/>
  <c r="K226" i="1"/>
  <c r="K179" i="1"/>
  <c r="U144" i="1"/>
  <c r="T144" i="1"/>
  <c r="E222" i="1"/>
  <c r="D222" i="1"/>
  <c r="G222" i="1"/>
  <c r="J222" i="1"/>
  <c r="H222" i="1"/>
  <c r="K222" i="1"/>
  <c r="U160" i="1"/>
  <c r="T160" i="1"/>
  <c r="T161" i="1"/>
  <c r="U161" i="1"/>
  <c r="D224" i="1"/>
  <c r="G224" i="1"/>
  <c r="Q156" i="1"/>
  <c r="R156" i="1"/>
  <c r="U147" i="1"/>
  <c r="T147" i="1"/>
  <c r="T153" i="1"/>
  <c r="U153" i="1"/>
  <c r="N84" i="1"/>
  <c r="Q84" i="1" s="1"/>
  <c r="V84" i="1" s="1"/>
  <c r="K223" i="1"/>
  <c r="N150" i="1"/>
  <c r="O150" i="1" s="1"/>
  <c r="D225" i="1"/>
  <c r="G225" i="1"/>
  <c r="E225" i="1"/>
  <c r="J225" i="1"/>
  <c r="K225" i="1"/>
  <c r="H225" i="1"/>
  <c r="Q146" i="1"/>
  <c r="P146" i="1"/>
  <c r="R146" i="1"/>
  <c r="N146" i="1"/>
  <c r="O146" i="1" s="1"/>
  <c r="O181" i="1"/>
  <c r="U181" i="1" s="1"/>
  <c r="K181" i="1"/>
  <c r="P157" i="1"/>
  <c r="N157" i="1"/>
  <c r="O157" i="1" s="1"/>
  <c r="Q157" i="1"/>
  <c r="R157" i="1"/>
  <c r="N148" i="1"/>
  <c r="O148" i="1" s="1"/>
  <c r="Q148" i="1"/>
  <c r="R148" i="1"/>
  <c r="P148" i="1"/>
  <c r="H227" i="1"/>
  <c r="J227" i="1"/>
  <c r="E227" i="1"/>
  <c r="K227" i="1"/>
  <c r="D227" i="1"/>
  <c r="G227" i="1"/>
  <c r="N153" i="1"/>
  <c r="O153" i="1" s="1"/>
  <c r="P153" i="1"/>
  <c r="R153" i="1"/>
  <c r="Q153" i="1"/>
  <c r="G221" i="1"/>
  <c r="D221" i="1"/>
  <c r="E221" i="1"/>
  <c r="H221" i="1"/>
  <c r="P152" i="1"/>
  <c r="Q152" i="1"/>
  <c r="R152" i="1"/>
  <c r="N152" i="1"/>
  <c r="O152" i="1" s="1"/>
  <c r="O63" i="1"/>
  <c r="U63" i="1" s="1"/>
  <c r="Q63" i="1"/>
  <c r="O60" i="1"/>
  <c r="P60" i="1" s="1"/>
  <c r="Q60" i="1"/>
  <c r="N78" i="1"/>
  <c r="N76" i="1"/>
  <c r="O69" i="1"/>
  <c r="N80" i="1"/>
  <c r="P14" i="6"/>
  <c r="Q14" i="6" s="1"/>
  <c r="N71" i="1"/>
  <c r="P129" i="1"/>
  <c r="Q129" i="1" s="1"/>
  <c r="O129" i="1"/>
  <c r="P137" i="1"/>
  <c r="Q137" i="1" s="1"/>
  <c r="N72" i="1"/>
  <c r="V83" i="1"/>
  <c r="Q154" i="1"/>
  <c r="P154" i="1"/>
  <c r="N154" i="1"/>
  <c r="O154" i="1" s="1"/>
  <c r="R154" i="1"/>
  <c r="R168" i="1"/>
  <c r="U168" i="1" s="1"/>
  <c r="K168" i="1"/>
  <c r="M131" i="1"/>
  <c r="N79" i="1"/>
  <c r="P15" i="6"/>
  <c r="Q15" i="6" s="1"/>
  <c r="Q61" i="1" l="1"/>
  <c r="Q80" i="1"/>
  <c r="AD39" i="1"/>
  <c r="O80" i="1"/>
  <c r="Q79" i="1"/>
  <c r="AD38" i="1"/>
  <c r="O79" i="1"/>
  <c r="Q78" i="1"/>
  <c r="AD37" i="1"/>
  <c r="O78" i="1"/>
  <c r="Q77" i="1"/>
  <c r="AD36" i="1"/>
  <c r="O77" i="1"/>
  <c r="Q76" i="1"/>
  <c r="AD35" i="1"/>
  <c r="O76" i="1"/>
  <c r="U75" i="1"/>
  <c r="T75" i="1"/>
  <c r="R75" i="1"/>
  <c r="P75" i="1"/>
  <c r="V75" i="1" s="1"/>
  <c r="AN34" i="1"/>
  <c r="AR34" i="1" s="1"/>
  <c r="BH34" i="1" s="1"/>
  <c r="AQ21" i="6" s="1"/>
  <c r="AS34" i="1"/>
  <c r="AH34" i="1"/>
  <c r="AE34" i="1"/>
  <c r="AK34" i="1"/>
  <c r="Z34" i="1" s="1"/>
  <c r="B20" i="8" s="1"/>
  <c r="P21" i="6"/>
  <c r="Q21" i="6" s="1"/>
  <c r="Q74" i="1"/>
  <c r="AD33" i="1"/>
  <c r="O74" i="1"/>
  <c r="O61" i="1"/>
  <c r="U61" i="1" s="1"/>
  <c r="Z22" i="1"/>
  <c r="Q71" i="1"/>
  <c r="AD30" i="1"/>
  <c r="O71" i="1"/>
  <c r="Q73" i="1"/>
  <c r="AD32" i="1"/>
  <c r="O73" i="1"/>
  <c r="Q72" i="1"/>
  <c r="AD31" i="1"/>
  <c r="O72" i="1"/>
  <c r="O70" i="1"/>
  <c r="U70" i="1" s="1"/>
  <c r="AD29" i="1"/>
  <c r="Q66" i="1"/>
  <c r="AD25" i="1"/>
  <c r="O67" i="1"/>
  <c r="T67" i="1" s="1"/>
  <c r="AD26" i="1"/>
  <c r="P13" i="6" s="1"/>
  <c r="Q13" i="6" s="1"/>
  <c r="AS28" i="1"/>
  <c r="AK28" i="1"/>
  <c r="AH28" i="1"/>
  <c r="AN28" i="1"/>
  <c r="AR28" i="1" s="1"/>
  <c r="AE28" i="1"/>
  <c r="AH27" i="1"/>
  <c r="AN27" i="1"/>
  <c r="AR27" i="1" s="1"/>
  <c r="BH27" i="1" s="1"/>
  <c r="AE27" i="1"/>
  <c r="AK27" i="1"/>
  <c r="AS27" i="1"/>
  <c r="AN23" i="1"/>
  <c r="AR23" i="1" s="1"/>
  <c r="BH23" i="1" s="1"/>
  <c r="AS23" i="1"/>
  <c r="AH23" i="1"/>
  <c r="AK23" i="1"/>
  <c r="AE23" i="1"/>
  <c r="AH21" i="1"/>
  <c r="AS21" i="1"/>
  <c r="AK21" i="1"/>
  <c r="AN21" i="1"/>
  <c r="AR21" i="1" s="1"/>
  <c r="BH21" i="1" s="1"/>
  <c r="AE21" i="1"/>
  <c r="O65" i="1"/>
  <c r="U65" i="1" s="1"/>
  <c r="AD24" i="1"/>
  <c r="P11" i="6" s="1"/>
  <c r="Q11" i="6" s="1"/>
  <c r="AN20" i="1"/>
  <c r="AR20" i="1" s="1"/>
  <c r="BH20" i="1" s="1"/>
  <c r="AE20" i="1"/>
  <c r="AS20" i="1"/>
  <c r="AH20" i="1"/>
  <c r="AK20" i="1"/>
  <c r="Z19" i="1"/>
  <c r="AK18" i="1"/>
  <c r="AN18" i="1"/>
  <c r="AR18" i="1" s="1"/>
  <c r="BH18" i="1" s="1"/>
  <c r="AH18" i="1"/>
  <c r="AE18" i="1"/>
  <c r="AS18" i="1"/>
  <c r="AS17" i="1"/>
  <c r="AK17" i="1"/>
  <c r="AN17" i="1"/>
  <c r="AH17" i="1"/>
  <c r="AE17" i="1"/>
  <c r="U68" i="1"/>
  <c r="Q59" i="1"/>
  <c r="R68" i="1"/>
  <c r="P68" i="1"/>
  <c r="O58" i="1"/>
  <c r="U58" i="1" s="1"/>
  <c r="Q62" i="1"/>
  <c r="O62" i="1"/>
  <c r="B26" i="8"/>
  <c r="O59" i="1"/>
  <c r="U59" i="1" s="1"/>
  <c r="B28" i="8"/>
  <c r="U169" i="10"/>
  <c r="R173" i="10"/>
  <c r="B29" i="8"/>
  <c r="AO44" i="10"/>
  <c r="AR45" i="10"/>
  <c r="AQ34" i="6"/>
  <c r="O178" i="10"/>
  <c r="P178" i="10" s="1"/>
  <c r="S178" i="10"/>
  <c r="K44" i="10"/>
  <c r="S139" i="1"/>
  <c r="Q173" i="10"/>
  <c r="Q65" i="1"/>
  <c r="V184" i="10"/>
  <c r="L196" i="10"/>
  <c r="O173" i="10"/>
  <c r="P173" i="10" s="1"/>
  <c r="U161" i="10"/>
  <c r="L200" i="10"/>
  <c r="L190" i="10"/>
  <c r="V190" i="10"/>
  <c r="V192" i="10"/>
  <c r="H229" i="10"/>
  <c r="I229" i="10"/>
  <c r="L229" i="10"/>
  <c r="E229" i="10"/>
  <c r="K229" i="10"/>
  <c r="F229" i="10"/>
  <c r="S172" i="10"/>
  <c r="O172" i="10"/>
  <c r="P172" i="10" s="1"/>
  <c r="R172" i="10"/>
  <c r="Q172" i="10"/>
  <c r="O191" i="10"/>
  <c r="V191" i="10" s="1"/>
  <c r="L191" i="10"/>
  <c r="R161" i="10"/>
  <c r="Q161" i="10"/>
  <c r="S161" i="10"/>
  <c r="O161" i="10"/>
  <c r="E238" i="10"/>
  <c r="L238" i="10"/>
  <c r="I238" i="10"/>
  <c r="K238" i="10"/>
  <c r="F238" i="10"/>
  <c r="H238" i="10"/>
  <c r="V178" i="10"/>
  <c r="U178" i="10"/>
  <c r="V164" i="10"/>
  <c r="U164" i="10"/>
  <c r="V174" i="10"/>
  <c r="U174" i="10"/>
  <c r="O193" i="10"/>
  <c r="V193" i="10" s="1"/>
  <c r="L193" i="10"/>
  <c r="O199" i="10"/>
  <c r="V199" i="10" s="1"/>
  <c r="L199" i="10"/>
  <c r="K236" i="10"/>
  <c r="E236" i="10"/>
  <c r="H236" i="10"/>
  <c r="L236" i="10"/>
  <c r="I236" i="10"/>
  <c r="F236" i="10"/>
  <c r="V162" i="10"/>
  <c r="U162" i="10"/>
  <c r="V201" i="10"/>
  <c r="H241" i="10"/>
  <c r="E241" i="10"/>
  <c r="L241" i="10"/>
  <c r="K241" i="10"/>
  <c r="F241" i="10"/>
  <c r="I241" i="10"/>
  <c r="O195" i="10"/>
  <c r="V195" i="10" s="1"/>
  <c r="L195" i="10"/>
  <c r="F233" i="10"/>
  <c r="I233" i="10"/>
  <c r="K233" i="10"/>
  <c r="H233" i="10"/>
  <c r="E233" i="10"/>
  <c r="L233" i="10"/>
  <c r="V167" i="10"/>
  <c r="U167" i="10"/>
  <c r="E243" i="10"/>
  <c r="F243" i="10"/>
  <c r="I243" i="10"/>
  <c r="K243" i="10"/>
  <c r="H243" i="10"/>
  <c r="L243" i="10"/>
  <c r="V200" i="10"/>
  <c r="O197" i="10"/>
  <c r="V197" i="10" s="1"/>
  <c r="L197" i="10"/>
  <c r="L186" i="10"/>
  <c r="F245" i="10"/>
  <c r="K245" i="10"/>
  <c r="E245" i="10"/>
  <c r="H245" i="10"/>
  <c r="I245" i="10"/>
  <c r="L245" i="10"/>
  <c r="U176" i="10"/>
  <c r="V176" i="10"/>
  <c r="V196" i="10"/>
  <c r="U171" i="10"/>
  <c r="V171" i="10"/>
  <c r="L188" i="10"/>
  <c r="L189" i="10"/>
  <c r="O175" i="10"/>
  <c r="P175" i="10" s="1"/>
  <c r="R175" i="10"/>
  <c r="Q175" i="10"/>
  <c r="S175" i="10"/>
  <c r="L187" i="10"/>
  <c r="O185" i="10"/>
  <c r="V185" i="10" s="1"/>
  <c r="L185" i="10"/>
  <c r="K232" i="10"/>
  <c r="E232" i="10"/>
  <c r="F232" i="10"/>
  <c r="I232" i="10"/>
  <c r="L232" i="10"/>
  <c r="H232" i="10"/>
  <c r="I234" i="10"/>
  <c r="E234" i="10"/>
  <c r="H234" i="10"/>
  <c r="L234" i="10"/>
  <c r="K234" i="10"/>
  <c r="F234" i="10"/>
  <c r="I235" i="10"/>
  <c r="L235" i="10"/>
  <c r="K235" i="10"/>
  <c r="H235" i="10"/>
  <c r="E235" i="10"/>
  <c r="F235" i="10"/>
  <c r="O166" i="10"/>
  <c r="P166" i="10" s="1"/>
  <c r="R166" i="10"/>
  <c r="Q166" i="10"/>
  <c r="S166" i="10"/>
  <c r="Q163" i="10"/>
  <c r="S163" i="10"/>
  <c r="O163" i="10"/>
  <c r="P163" i="10" s="1"/>
  <c r="R163" i="10"/>
  <c r="L237" i="10"/>
  <c r="E237" i="10"/>
  <c r="F237" i="10"/>
  <c r="H237" i="10"/>
  <c r="K237" i="10"/>
  <c r="I237" i="10"/>
  <c r="V168" i="10"/>
  <c r="U168" i="10"/>
  <c r="O169" i="10"/>
  <c r="P169" i="10" s="1"/>
  <c r="R169" i="10"/>
  <c r="Q169" i="10"/>
  <c r="S169" i="10"/>
  <c r="F224" i="10"/>
  <c r="H206" i="10"/>
  <c r="H224" i="10" s="1"/>
  <c r="I242" i="10"/>
  <c r="E242" i="10"/>
  <c r="H242" i="10"/>
  <c r="L242" i="10"/>
  <c r="K242" i="10"/>
  <c r="F242" i="10"/>
  <c r="U170" i="10"/>
  <c r="V170" i="10"/>
  <c r="V186" i="10"/>
  <c r="O176" i="10"/>
  <c r="P176" i="10" s="1"/>
  <c r="R176" i="10"/>
  <c r="Q176" i="10"/>
  <c r="S176" i="10"/>
  <c r="K240" i="10"/>
  <c r="E240" i="10"/>
  <c r="F240" i="10"/>
  <c r="I240" i="10"/>
  <c r="L240" i="10"/>
  <c r="H240" i="10"/>
  <c r="S171" i="10"/>
  <c r="O171" i="10"/>
  <c r="P171" i="10" s="1"/>
  <c r="R171" i="10"/>
  <c r="Q171" i="10"/>
  <c r="V177" i="10"/>
  <c r="U177" i="10"/>
  <c r="V188" i="10"/>
  <c r="V189" i="10"/>
  <c r="U175" i="10"/>
  <c r="V175" i="10"/>
  <c r="V163" i="10"/>
  <c r="U163" i="10"/>
  <c r="V187" i="10"/>
  <c r="Q177" i="10"/>
  <c r="O177" i="10"/>
  <c r="P177" i="10" s="1"/>
  <c r="S177" i="10"/>
  <c r="R177" i="10"/>
  <c r="S165" i="10"/>
  <c r="O165" i="10"/>
  <c r="P165" i="10" s="1"/>
  <c r="Q165" i="10"/>
  <c r="R165" i="10"/>
  <c r="U172" i="10"/>
  <c r="V172" i="10"/>
  <c r="O168" i="10"/>
  <c r="P168" i="10" s="1"/>
  <c r="R168" i="10"/>
  <c r="Q168" i="10"/>
  <c r="S168" i="10"/>
  <c r="Q164" i="10"/>
  <c r="S164" i="10"/>
  <c r="O164" i="10"/>
  <c r="P164" i="10" s="1"/>
  <c r="R164" i="10"/>
  <c r="V165" i="10"/>
  <c r="U165" i="10"/>
  <c r="U166" i="10"/>
  <c r="V166" i="10"/>
  <c r="O167" i="10"/>
  <c r="P167" i="10" s="1"/>
  <c r="R167" i="10"/>
  <c r="Q167" i="10"/>
  <c r="S167" i="10"/>
  <c r="O174" i="10"/>
  <c r="P174" i="10" s="1"/>
  <c r="R174" i="10"/>
  <c r="Q174" i="10"/>
  <c r="S174" i="10"/>
  <c r="F239" i="10"/>
  <c r="K239" i="10"/>
  <c r="L239" i="10"/>
  <c r="E239" i="10"/>
  <c r="H239" i="10"/>
  <c r="I239" i="10"/>
  <c r="R170" i="10"/>
  <c r="Q170" i="10"/>
  <c r="O170" i="10"/>
  <c r="P170" i="10" s="1"/>
  <c r="S170" i="10"/>
  <c r="F228" i="10"/>
  <c r="K228" i="10"/>
  <c r="L228" i="10"/>
  <c r="I228" i="10"/>
  <c r="D246" i="10"/>
  <c r="E228" i="10"/>
  <c r="L184" i="10"/>
  <c r="O194" i="10"/>
  <c r="V194" i="10" s="1"/>
  <c r="L194" i="10"/>
  <c r="U173" i="10"/>
  <c r="V173" i="10"/>
  <c r="I230" i="10"/>
  <c r="K230" i="10"/>
  <c r="H230" i="10"/>
  <c r="F230" i="10"/>
  <c r="E230" i="10"/>
  <c r="L230" i="10"/>
  <c r="I231" i="10"/>
  <c r="F231" i="10"/>
  <c r="K231" i="10"/>
  <c r="L231" i="10"/>
  <c r="H231" i="10"/>
  <c r="E231" i="10"/>
  <c r="E244" i="10"/>
  <c r="L244" i="10"/>
  <c r="I244" i="10"/>
  <c r="K244" i="10"/>
  <c r="F244" i="10"/>
  <c r="H244" i="10"/>
  <c r="O198" i="10"/>
  <c r="V198" i="10" s="1"/>
  <c r="L198" i="10"/>
  <c r="S162" i="10"/>
  <c r="O162" i="10"/>
  <c r="P162" i="10" s="1"/>
  <c r="Q162" i="10"/>
  <c r="R162" i="10"/>
  <c r="L192" i="10"/>
  <c r="L201" i="10"/>
  <c r="Q69" i="1"/>
  <c r="T139" i="1"/>
  <c r="L139" i="1"/>
  <c r="Q58" i="1"/>
  <c r="P63" i="1"/>
  <c r="Q70" i="1"/>
  <c r="P7" i="6"/>
  <c r="Q7" i="6" s="1"/>
  <c r="M139" i="1"/>
  <c r="T162" i="1"/>
  <c r="U162" i="1" s="1"/>
  <c r="P61" i="1"/>
  <c r="T61" i="1"/>
  <c r="R61" i="1"/>
  <c r="P9" i="6"/>
  <c r="Q9" i="6" s="1"/>
  <c r="U186" i="1"/>
  <c r="AQ30" i="6"/>
  <c r="P6" i="6"/>
  <c r="Q6" i="6" s="1"/>
  <c r="P139" i="1"/>
  <c r="T60" i="1"/>
  <c r="P8" i="6"/>
  <c r="Q8" i="6" s="1"/>
  <c r="AQ29" i="6"/>
  <c r="Q139" i="1"/>
  <c r="O64" i="1"/>
  <c r="U64" i="1" s="1"/>
  <c r="O66" i="1"/>
  <c r="K229" i="1"/>
  <c r="R63" i="1"/>
  <c r="R60" i="1"/>
  <c r="Q64" i="1"/>
  <c r="K185" i="1"/>
  <c r="P162" i="1"/>
  <c r="U60" i="1"/>
  <c r="R162" i="1"/>
  <c r="T63" i="1"/>
  <c r="O162" i="1"/>
  <c r="AK4" i="6"/>
  <c r="U69" i="1"/>
  <c r="P69" i="1"/>
  <c r="R69" i="1"/>
  <c r="T69" i="1"/>
  <c r="N162" i="1"/>
  <c r="P10" i="6"/>
  <c r="Q10" i="6" s="1"/>
  <c r="P16" i="6"/>
  <c r="Q16" i="6" s="1"/>
  <c r="U79" i="1" l="1"/>
  <c r="R79" i="1"/>
  <c r="T79" i="1"/>
  <c r="P79" i="1"/>
  <c r="V79" i="1" s="1"/>
  <c r="AK39" i="1"/>
  <c r="AH39" i="1"/>
  <c r="AS39" i="1"/>
  <c r="AE39" i="1"/>
  <c r="AN39" i="1"/>
  <c r="AR39" i="1" s="1"/>
  <c r="BH39" i="1" s="1"/>
  <c r="AQ26" i="6" s="1"/>
  <c r="P26" i="6"/>
  <c r="Q26" i="6" s="1"/>
  <c r="U80" i="1"/>
  <c r="T80" i="1"/>
  <c r="P80" i="1"/>
  <c r="R80" i="1"/>
  <c r="AE38" i="1"/>
  <c r="AH38" i="1"/>
  <c r="AK38" i="1"/>
  <c r="AS38" i="1"/>
  <c r="AN38" i="1"/>
  <c r="AR38" i="1" s="1"/>
  <c r="BH38" i="1" s="1"/>
  <c r="AQ25" i="6" s="1"/>
  <c r="P25" i="6"/>
  <c r="Q25" i="6" s="1"/>
  <c r="U78" i="1"/>
  <c r="P78" i="1"/>
  <c r="T78" i="1"/>
  <c r="R78" i="1"/>
  <c r="V78" i="1" s="1"/>
  <c r="AN37" i="1"/>
  <c r="AR37" i="1" s="1"/>
  <c r="BH37" i="1" s="1"/>
  <c r="AQ24" i="6" s="1"/>
  <c r="AS37" i="1"/>
  <c r="AK37" i="1"/>
  <c r="AE37" i="1"/>
  <c r="AH37" i="1"/>
  <c r="P24" i="6"/>
  <c r="Q24" i="6" s="1"/>
  <c r="U77" i="1"/>
  <c r="P77" i="1"/>
  <c r="R77" i="1"/>
  <c r="T77" i="1"/>
  <c r="AE36" i="1"/>
  <c r="AS36" i="1"/>
  <c r="AH36" i="1"/>
  <c r="AN36" i="1"/>
  <c r="AR36" i="1" s="1"/>
  <c r="BH36" i="1" s="1"/>
  <c r="AQ23" i="6" s="1"/>
  <c r="AK36" i="1"/>
  <c r="P23" i="6"/>
  <c r="Q23" i="6" s="1"/>
  <c r="U76" i="1"/>
  <c r="R76" i="1"/>
  <c r="T76" i="1"/>
  <c r="P76" i="1"/>
  <c r="AS35" i="1"/>
  <c r="AH35" i="1"/>
  <c r="AK35" i="1"/>
  <c r="AN35" i="1"/>
  <c r="AR35" i="1" s="1"/>
  <c r="BH35" i="1" s="1"/>
  <c r="AQ22" i="6" s="1"/>
  <c r="AE35" i="1"/>
  <c r="P22" i="6"/>
  <c r="Q22" i="6" s="1"/>
  <c r="U74" i="1"/>
  <c r="V74" i="1" s="1"/>
  <c r="T74" i="1"/>
  <c r="R74" i="1"/>
  <c r="P74" i="1"/>
  <c r="AK33" i="1"/>
  <c r="AH33" i="1"/>
  <c r="AS33" i="1"/>
  <c r="AN33" i="1"/>
  <c r="AR33" i="1" s="1"/>
  <c r="BH33" i="1" s="1"/>
  <c r="AQ20" i="6" s="1"/>
  <c r="AE33" i="1"/>
  <c r="P20" i="6"/>
  <c r="Q20" i="6" s="1"/>
  <c r="P70" i="1"/>
  <c r="T70" i="1"/>
  <c r="R70" i="1"/>
  <c r="T65" i="1"/>
  <c r="P65" i="1"/>
  <c r="R65" i="1"/>
  <c r="Z20" i="1"/>
  <c r="U72" i="1"/>
  <c r="P72" i="1"/>
  <c r="R72" i="1"/>
  <c r="T72" i="1"/>
  <c r="AK29" i="1"/>
  <c r="AH29" i="1"/>
  <c r="AS29" i="1"/>
  <c r="AE29" i="1"/>
  <c r="AN29" i="1"/>
  <c r="AR29" i="1" s="1"/>
  <c r="BH29" i="1" s="1"/>
  <c r="U71" i="1"/>
  <c r="R71" i="1"/>
  <c r="T71" i="1"/>
  <c r="P71" i="1"/>
  <c r="AS31" i="1"/>
  <c r="AK31" i="1"/>
  <c r="AE31" i="1"/>
  <c r="AN31" i="1"/>
  <c r="AR31" i="1" s="1"/>
  <c r="BH31" i="1" s="1"/>
  <c r="AQ18" i="6" s="1"/>
  <c r="AH31" i="1"/>
  <c r="P18" i="6"/>
  <c r="Q18" i="6" s="1"/>
  <c r="U73" i="1"/>
  <c r="P73" i="1"/>
  <c r="T73" i="1"/>
  <c r="R73" i="1"/>
  <c r="AK30" i="1"/>
  <c r="AS30" i="1"/>
  <c r="AH30" i="1"/>
  <c r="AN30" i="1"/>
  <c r="AR30" i="1" s="1"/>
  <c r="BH30" i="1" s="1"/>
  <c r="AQ17" i="6" s="1"/>
  <c r="AE30" i="1"/>
  <c r="P17" i="6"/>
  <c r="Q17" i="6" s="1"/>
  <c r="AK32" i="1"/>
  <c r="AH32" i="1"/>
  <c r="AE32" i="1"/>
  <c r="AS32" i="1"/>
  <c r="AN32" i="1"/>
  <c r="AR32" i="1" s="1"/>
  <c r="BH32" i="1" s="1"/>
  <c r="AQ19" i="6" s="1"/>
  <c r="P19" i="6"/>
  <c r="Q19" i="6" s="1"/>
  <c r="Z28" i="1"/>
  <c r="BH28" i="1"/>
  <c r="AQ15" i="6" s="1"/>
  <c r="AE26" i="1"/>
  <c r="AS26" i="1"/>
  <c r="AK26" i="1"/>
  <c r="AN26" i="1"/>
  <c r="AR26" i="1" s="1"/>
  <c r="BH26" i="1" s="1"/>
  <c r="AH26" i="1"/>
  <c r="Z27" i="1"/>
  <c r="U67" i="1"/>
  <c r="R67" i="1"/>
  <c r="P67" i="1"/>
  <c r="AH25" i="1"/>
  <c r="AS25" i="1"/>
  <c r="AN25" i="1"/>
  <c r="AR25" i="1" s="1"/>
  <c r="BH25" i="1" s="1"/>
  <c r="AE25" i="1"/>
  <c r="AK25" i="1"/>
  <c r="V68" i="1"/>
  <c r="Z23" i="1"/>
  <c r="B9" i="8" s="1"/>
  <c r="AH24" i="1"/>
  <c r="AE24" i="1"/>
  <c r="AN24" i="1"/>
  <c r="AR24" i="1" s="1"/>
  <c r="BH24" i="1" s="1"/>
  <c r="AS24" i="1"/>
  <c r="AK24" i="1"/>
  <c r="Z21" i="1"/>
  <c r="Z18" i="1"/>
  <c r="AR17" i="1"/>
  <c r="R58" i="1"/>
  <c r="T58" i="1"/>
  <c r="P58" i="1"/>
  <c r="B45" i="1"/>
  <c r="AQ28" i="6"/>
  <c r="B27" i="8"/>
  <c r="AQ27" i="6"/>
  <c r="U62" i="1"/>
  <c r="T62" i="1"/>
  <c r="R62" i="1"/>
  <c r="P62" i="1"/>
  <c r="P59" i="1"/>
  <c r="R59" i="1"/>
  <c r="T59" i="1"/>
  <c r="P4" i="6"/>
  <c r="Q4" i="6" s="1"/>
  <c r="P5" i="6"/>
  <c r="Q5" i="6" s="1"/>
  <c r="BM45" i="10"/>
  <c r="AB45" i="10" s="1"/>
  <c r="S179" i="10"/>
  <c r="U179" i="10"/>
  <c r="V179" i="10" s="1"/>
  <c r="L246" i="10"/>
  <c r="L202" i="10"/>
  <c r="O179" i="10"/>
  <c r="P161" i="10"/>
  <c r="P179" i="10" s="1"/>
  <c r="Q179" i="10"/>
  <c r="V203" i="10"/>
  <c r="C45" i="1"/>
  <c r="B33" i="8" s="1"/>
  <c r="Q85" i="1"/>
  <c r="V61" i="1"/>
  <c r="R64" i="1"/>
  <c r="T64" i="1"/>
  <c r="AQ10" i="6"/>
  <c r="P64" i="1"/>
  <c r="V63" i="1"/>
  <c r="V60" i="1"/>
  <c r="P12" i="6"/>
  <c r="Q12" i="6" s="1"/>
  <c r="R66" i="1"/>
  <c r="P66" i="1"/>
  <c r="T66" i="1"/>
  <c r="U66" i="1"/>
  <c r="V69" i="1"/>
  <c r="V70" i="1"/>
  <c r="Z37" i="1" l="1"/>
  <c r="B23" i="8" s="1"/>
  <c r="V80" i="1"/>
  <c r="Z38" i="1"/>
  <c r="B24" i="8" s="1"/>
  <c r="Z39" i="1"/>
  <c r="B25" i="8" s="1"/>
  <c r="V77" i="1"/>
  <c r="V76" i="1"/>
  <c r="Z36" i="1"/>
  <c r="B22" i="8" s="1"/>
  <c r="Z35" i="1"/>
  <c r="B21" i="8" s="1"/>
  <c r="Z33" i="1"/>
  <c r="B19" i="8" s="1"/>
  <c r="AF33" i="1"/>
  <c r="AG33" i="1" s="1"/>
  <c r="V71" i="1"/>
  <c r="V65" i="1"/>
  <c r="AF18" i="1"/>
  <c r="AG18" i="1" s="1"/>
  <c r="AN44" i="1"/>
  <c r="AF39" i="1"/>
  <c r="AG39" i="1" s="1"/>
  <c r="AF31" i="1"/>
  <c r="AG31" i="1" s="1"/>
  <c r="AF36" i="1"/>
  <c r="AG36" i="1" s="1"/>
  <c r="AF41" i="1"/>
  <c r="AG41" i="1" s="1"/>
  <c r="V72" i="1"/>
  <c r="AK44" i="1"/>
  <c r="AI32" i="1"/>
  <c r="AJ32" i="1" s="1"/>
  <c r="AF26" i="1"/>
  <c r="AG26" i="1" s="1"/>
  <c r="AF24" i="1"/>
  <c r="AG24" i="1" s="1"/>
  <c r="AF22" i="1"/>
  <c r="AG22" i="1" s="1"/>
  <c r="AF30" i="1"/>
  <c r="AG30" i="1" s="1"/>
  <c r="AF34" i="1"/>
  <c r="AG34" i="1" s="1"/>
  <c r="AF20" i="1"/>
  <c r="AG20" i="1" s="1"/>
  <c r="AF38" i="1"/>
  <c r="AG38" i="1" s="1"/>
  <c r="Z26" i="1"/>
  <c r="B12" i="8" s="1"/>
  <c r="B14" i="8"/>
  <c r="V73" i="1"/>
  <c r="AI25" i="1"/>
  <c r="AJ25" i="1" s="1"/>
  <c r="AI23" i="1"/>
  <c r="AJ23" i="1" s="1"/>
  <c r="AI18" i="1"/>
  <c r="AJ18" i="1" s="1"/>
  <c r="AI29" i="1"/>
  <c r="AJ29" i="1" s="1"/>
  <c r="AF17" i="1"/>
  <c r="AG17" i="1" s="1"/>
  <c r="AI40" i="1"/>
  <c r="AJ40" i="1" s="1"/>
  <c r="AI38" i="1"/>
  <c r="AJ38" i="1" s="1"/>
  <c r="AI31" i="1"/>
  <c r="AJ31" i="1" s="1"/>
  <c r="AI26" i="1"/>
  <c r="AJ26" i="1" s="1"/>
  <c r="AI21" i="1"/>
  <c r="AJ21" i="1" s="1"/>
  <c r="AI34" i="1"/>
  <c r="AJ34" i="1" s="1"/>
  <c r="AI41" i="1"/>
  <c r="AJ41" i="1" s="1"/>
  <c r="AI37" i="1"/>
  <c r="AJ37" i="1" s="1"/>
  <c r="AI42" i="1"/>
  <c r="AJ42" i="1" s="1"/>
  <c r="AI17" i="1"/>
  <c r="AJ17" i="1" s="1"/>
  <c r="AF37" i="1"/>
  <c r="AG37" i="1" s="1"/>
  <c r="AF23" i="1"/>
  <c r="AG23" i="1" s="1"/>
  <c r="AF29" i="1"/>
  <c r="AG29" i="1" s="1"/>
  <c r="AF43" i="1"/>
  <c r="AG43" i="1" s="1"/>
  <c r="AF27" i="1"/>
  <c r="AG27" i="1" s="1"/>
  <c r="AF19" i="1"/>
  <c r="AG19" i="1" s="1"/>
  <c r="AF32" i="1"/>
  <c r="AG32" i="1" s="1"/>
  <c r="AI33" i="1"/>
  <c r="AJ33" i="1" s="1"/>
  <c r="AI27" i="1"/>
  <c r="AJ27" i="1" s="1"/>
  <c r="AI22" i="1"/>
  <c r="AJ22" i="1" s="1"/>
  <c r="AI35" i="1"/>
  <c r="AJ35" i="1" s="1"/>
  <c r="AI20" i="1"/>
  <c r="AJ20" i="1" s="1"/>
  <c r="AI30" i="1"/>
  <c r="AJ30" i="1" s="1"/>
  <c r="AI19" i="1"/>
  <c r="AJ19" i="1" s="1"/>
  <c r="Z30" i="1"/>
  <c r="B16" i="8" s="1"/>
  <c r="AF21" i="1"/>
  <c r="AG21" i="1" s="1"/>
  <c r="AF40" i="1"/>
  <c r="AG40" i="1" s="1"/>
  <c r="AF35" i="1"/>
  <c r="AG35" i="1" s="1"/>
  <c r="AF42" i="1"/>
  <c r="AG42" i="1" s="1"/>
  <c r="AF25" i="1"/>
  <c r="AG25" i="1" s="1"/>
  <c r="AF28" i="1"/>
  <c r="AG28" i="1" s="1"/>
  <c r="AI39" i="1"/>
  <c r="AJ39" i="1" s="1"/>
  <c r="AI24" i="1"/>
  <c r="AJ24" i="1" s="1"/>
  <c r="AI28" i="1"/>
  <c r="AJ28" i="1" s="1"/>
  <c r="AI36" i="1"/>
  <c r="AJ36" i="1" s="1"/>
  <c r="AI43" i="1"/>
  <c r="AJ43" i="1" s="1"/>
  <c r="AS44" i="1"/>
  <c r="Z29" i="1"/>
  <c r="B15" i="8" s="1"/>
  <c r="Z32" i="1"/>
  <c r="B18" i="8" s="1"/>
  <c r="Z31" i="1"/>
  <c r="B17" i="8" s="1"/>
  <c r="Z25" i="1"/>
  <c r="V67" i="1"/>
  <c r="Z24" i="1"/>
  <c r="B10" i="8" s="1"/>
  <c r="C32" i="8"/>
  <c r="V58" i="1"/>
  <c r="BH17" i="1"/>
  <c r="AQ4" i="6" s="1"/>
  <c r="AS45" i="1"/>
  <c r="Z17" i="1"/>
  <c r="U85" i="1"/>
  <c r="AA88" i="1" s="1"/>
  <c r="AB88" i="1" s="1"/>
  <c r="V59" i="1"/>
  <c r="AQ6" i="6"/>
  <c r="B5" i="8"/>
  <c r="AQ9" i="6"/>
  <c r="B8" i="8"/>
  <c r="AQ11" i="6"/>
  <c r="AQ7" i="6"/>
  <c r="B6" i="8"/>
  <c r="AQ14" i="6"/>
  <c r="B13" i="8"/>
  <c r="AQ13" i="6"/>
  <c r="AQ8" i="6"/>
  <c r="B7" i="8"/>
  <c r="V62" i="1"/>
  <c r="AB44" i="10"/>
  <c r="C45" i="10"/>
  <c r="BL45" i="10" s="1"/>
  <c r="AB46" i="10" s="1"/>
  <c r="D45" i="10"/>
  <c r="R85" i="1"/>
  <c r="AA98" i="1" s="1"/>
  <c r="AB98" i="1" s="1"/>
  <c r="T85" i="1"/>
  <c r="V64" i="1"/>
  <c r="P85" i="1"/>
  <c r="V66" i="1"/>
  <c r="AQ16" i="6"/>
  <c r="AJ44" i="1" l="1"/>
  <c r="AG44" i="1"/>
  <c r="AH45" i="1"/>
  <c r="AK45" i="1"/>
  <c r="B3" i="8"/>
  <c r="AA96" i="1"/>
  <c r="AB96" i="1" s="1"/>
  <c r="AA89" i="1"/>
  <c r="AB89" i="1" s="1"/>
  <c r="AA93" i="1"/>
  <c r="AB93" i="1" s="1"/>
  <c r="AA95" i="1"/>
  <c r="AB95" i="1" s="1"/>
  <c r="AA97" i="1"/>
  <c r="AB97" i="1" s="1"/>
  <c r="AA99" i="1"/>
  <c r="AB99" i="1" s="1"/>
  <c r="S85" i="1"/>
  <c r="AA91" i="1"/>
  <c r="AB91" i="1" s="1"/>
  <c r="AA90" i="1"/>
  <c r="AB90" i="1" s="1"/>
  <c r="AA94" i="1"/>
  <c r="AB94" i="1" s="1"/>
  <c r="AA92" i="1"/>
  <c r="AB92" i="1" s="1"/>
  <c r="B4" i="8"/>
  <c r="AQ5" i="6"/>
  <c r="AQ12" i="6"/>
  <c r="B11" i="8"/>
  <c r="V85" i="1"/>
  <c r="AA85" i="1" s="1"/>
  <c r="AA87" i="1" l="1"/>
  <c r="AB87" i="1" s="1"/>
  <c r="BI45" i="1"/>
  <c r="Z46" i="1" s="1"/>
  <c r="AB85" i="1"/>
  <c r="C2" i="8"/>
  <c r="AA80" i="1" l="1"/>
  <c r="Z44" i="1" s="1"/>
  <c r="B31" i="8" s="1"/>
  <c r="AB78" i="1"/>
  <c r="BJ45" i="1" s="1"/>
  <c r="Z45" i="1" s="1"/>
  <c r="H30" i="2" l="1"/>
  <c r="M31" i="2"/>
  <c r="AE32" i="2"/>
  <c r="M30" i="2"/>
  <c r="T25" i="2"/>
  <c r="AA32" i="2"/>
  <c r="E28" i="2"/>
  <c r="N28" i="2" s="1"/>
  <c r="AE29" i="2"/>
  <c r="AA31" i="2"/>
  <c r="J28" i="2"/>
  <c r="H10" i="2"/>
  <c r="R33" i="2"/>
  <c r="R35" i="2"/>
  <c r="H32" i="2"/>
  <c r="M35" i="2"/>
  <c r="V33" i="2"/>
  <c r="V29" i="2"/>
  <c r="F25" i="2"/>
  <c r="AA34" i="2"/>
  <c r="AA30" i="2"/>
  <c r="AE33" i="2"/>
  <c r="V35" i="2"/>
  <c r="R30" i="2"/>
  <c r="G35" i="2"/>
  <c r="R29" i="2"/>
  <c r="V32" i="2"/>
  <c r="M34" i="2"/>
  <c r="R34" i="2"/>
  <c r="M32" i="2"/>
  <c r="Q32" i="2"/>
  <c r="AE35" i="2"/>
  <c r="M33" i="2"/>
  <c r="V30" i="2"/>
  <c r="AA35" i="2"/>
  <c r="H33" i="2"/>
  <c r="V31" i="2"/>
  <c r="V28" i="2"/>
  <c r="AA33" i="2"/>
  <c r="X25" i="2"/>
  <c r="Z33" i="2"/>
  <c r="AD22" i="2"/>
  <c r="Y23" i="2"/>
  <c r="U35" i="2"/>
  <c r="H34" i="2"/>
  <c r="R31" i="2"/>
  <c r="AA28" i="2"/>
  <c r="V34" i="2"/>
  <c r="AE31" i="2"/>
  <c r="AE34" i="2"/>
  <c r="R32" i="2"/>
  <c r="H35" i="2"/>
  <c r="AE30" i="2"/>
  <c r="H29" i="2"/>
  <c r="AA29" i="2"/>
  <c r="Z23" i="2"/>
  <c r="H31" i="2"/>
  <c r="G9" i="2"/>
  <c r="Y20" i="2"/>
  <c r="Y11" i="2"/>
  <c r="E27" i="2"/>
  <c r="O27" i="2" s="1"/>
  <c r="L34" i="2"/>
  <c r="H9" i="2"/>
  <c r="Y15" i="2"/>
  <c r="Y32" i="2"/>
  <c r="M29" i="2"/>
  <c r="S26" i="2"/>
  <c r="Q22" i="2"/>
  <c r="G31" i="2"/>
  <c r="L24" i="2"/>
  <c r="C30" i="8"/>
  <c r="Y26" i="2"/>
  <c r="Y31" i="2"/>
  <c r="Y10" i="2"/>
  <c r="Y27" i="2"/>
  <c r="Y24" i="2"/>
  <c r="Y34" i="2"/>
  <c r="Y16" i="2"/>
  <c r="Y21" i="2"/>
  <c r="Y33" i="2"/>
  <c r="Y9" i="2"/>
  <c r="Y17" i="2"/>
  <c r="Y18" i="2"/>
  <c r="Y14" i="2"/>
  <c r="Y19" i="2"/>
  <c r="Y12" i="2"/>
  <c r="Y28" i="2"/>
  <c r="Y25" i="2"/>
  <c r="Y30" i="2"/>
  <c r="I9" i="2"/>
  <c r="Y35" i="2"/>
  <c r="Y13" i="2"/>
  <c r="Y29" i="2"/>
  <c r="Y22" i="2"/>
  <c r="L40" i="2"/>
  <c r="P40" i="2" s="1"/>
  <c r="U31" i="2"/>
  <c r="R28" i="2"/>
  <c r="F26" i="2"/>
  <c r="X24" i="2"/>
  <c r="Q23" i="2"/>
  <c r="H22" i="2"/>
  <c r="Z34" i="2"/>
  <c r="Q33" i="2"/>
  <c r="G32" i="2"/>
  <c r="Z30" i="2"/>
  <c r="Z29" i="2"/>
  <c r="G29" i="2"/>
  <c r="Q28" i="2"/>
  <c r="AA27" i="2"/>
  <c r="H27" i="2"/>
  <c r="R26" i="2"/>
  <c r="W25" i="2"/>
  <c r="AB24" i="2"/>
  <c r="F24" i="2"/>
  <c r="P23" i="2"/>
  <c r="X22" i="2"/>
  <c r="X35" i="2"/>
  <c r="F35" i="2"/>
  <c r="P34" i="2"/>
  <c r="X33" i="2"/>
  <c r="F33" i="2"/>
  <c r="P32" i="2"/>
  <c r="X31" i="2"/>
  <c r="F31" i="2"/>
  <c r="P30" i="2"/>
  <c r="X29" i="2"/>
  <c r="F29" i="2"/>
  <c r="P28" i="2"/>
  <c r="Z27" i="2"/>
  <c r="G27" i="2"/>
  <c r="Q26" i="2"/>
  <c r="S35" i="2"/>
  <c r="W34" i="2"/>
  <c r="AB33" i="2"/>
  <c r="E33" i="2"/>
  <c r="N33" i="2" s="1"/>
  <c r="J32" i="2"/>
  <c r="S31" i="2"/>
  <c r="W30" i="2"/>
  <c r="AB29" i="2"/>
  <c r="E29" i="2"/>
  <c r="N29" i="2" s="1"/>
  <c r="K28" i="2"/>
  <c r="T27" i="2"/>
  <c r="P26" i="2"/>
  <c r="AE24" i="2"/>
  <c r="E23" i="2"/>
  <c r="N23" i="2" s="1"/>
  <c r="AA21" i="2"/>
  <c r="H21" i="2"/>
  <c r="R20" i="2"/>
  <c r="W19" i="2"/>
  <c r="AB18" i="2"/>
  <c r="F18" i="2"/>
  <c r="P17" i="2"/>
  <c r="X16" i="2"/>
  <c r="G16" i="2"/>
  <c r="Q15" i="2"/>
  <c r="Z14" i="2"/>
  <c r="H14" i="2"/>
  <c r="R13" i="2"/>
  <c r="AA12" i="2"/>
  <c r="E12" i="2"/>
  <c r="J11" i="2"/>
  <c r="S10" i="2"/>
  <c r="AC26" i="2"/>
  <c r="L25" i="2"/>
  <c r="AE23" i="2"/>
  <c r="V22" i="2"/>
  <c r="U21" i="2"/>
  <c r="AD20" i="2"/>
  <c r="M20" i="2"/>
  <c r="V19" i="2"/>
  <c r="AE18" i="2"/>
  <c r="J18" i="2"/>
  <c r="S17" i="2"/>
  <c r="W16" i="2"/>
  <c r="AC15" i="2"/>
  <c r="K15" i="2"/>
  <c r="T14" i="2"/>
  <c r="AD13" i="2"/>
  <c r="L13" i="2"/>
  <c r="U12" i="2"/>
  <c r="W27" i="2"/>
  <c r="AC25" i="2"/>
  <c r="T24" i="2"/>
  <c r="L23" i="2"/>
  <c r="AD35" i="2"/>
  <c r="U34" i="2"/>
  <c r="L33" i="2"/>
  <c r="AD31" i="2"/>
  <c r="U30" i="2"/>
  <c r="U29" i="2"/>
  <c r="AD28" i="2"/>
  <c r="M28" i="2"/>
  <c r="V27" i="2"/>
  <c r="AE26" i="2"/>
  <c r="J26" i="2"/>
  <c r="S25" i="2"/>
  <c r="W24" i="2"/>
  <c r="AC23" i="2"/>
  <c r="K23" i="2"/>
  <c r="T22" i="2"/>
  <c r="T35" i="2"/>
  <c r="AC34" i="2"/>
  <c r="K34" i="2"/>
  <c r="T33" i="2"/>
  <c r="AC32" i="2"/>
  <c r="K32" i="2"/>
  <c r="T31" i="2"/>
  <c r="AC30" i="2"/>
  <c r="K30" i="2"/>
  <c r="T29" i="2"/>
  <c r="AC28" i="2"/>
  <c r="L28" i="2"/>
  <c r="U27" i="2"/>
  <c r="AD26" i="2"/>
  <c r="M26" i="2"/>
  <c r="J35" i="2"/>
  <c r="S34" i="2"/>
  <c r="W33" i="2"/>
  <c r="AB32" i="2"/>
  <c r="E32" i="2"/>
  <c r="N32" i="2" s="1"/>
  <c r="J31" i="2"/>
  <c r="S30" i="2"/>
  <c r="W29" i="2"/>
  <c r="AB28" i="2"/>
  <c r="F28" i="2"/>
  <c r="P27" i="2"/>
  <c r="AE25" i="2"/>
  <c r="V24" i="2"/>
  <c r="W22" i="2"/>
  <c r="V21" i="2"/>
  <c r="AE20" i="2"/>
  <c r="J20" i="2"/>
  <c r="S19" i="2"/>
  <c r="W18" i="2"/>
  <c r="AC17" i="2"/>
  <c r="K17" i="2"/>
  <c r="T16" i="2"/>
  <c r="AD15" i="2"/>
  <c r="L15" i="2"/>
  <c r="U14" i="2"/>
  <c r="AE13" i="2"/>
  <c r="M13" i="2"/>
  <c r="V12" i="2"/>
  <c r="AB11" i="2"/>
  <c r="E11" i="2"/>
  <c r="N11" i="2" s="1"/>
  <c r="K10" i="2"/>
  <c r="L26" i="2"/>
  <c r="AD24" i="2"/>
  <c r="V23" i="2"/>
  <c r="G22" i="2"/>
  <c r="Q21" i="2"/>
  <c r="Z20" i="2"/>
  <c r="H20" i="2"/>
  <c r="R19" i="2"/>
  <c r="AA18" i="2"/>
  <c r="E18" i="2"/>
  <c r="J17" i="2"/>
  <c r="S16" i="2"/>
  <c r="AB26" i="2"/>
  <c r="P25" i="2"/>
  <c r="G24" i="2"/>
  <c r="Z22" i="2"/>
  <c r="Q35" i="2"/>
  <c r="G34" i="2"/>
  <c r="Z32" i="2"/>
  <c r="Q31" i="2"/>
  <c r="G30" i="2"/>
  <c r="Q29" i="2"/>
  <c r="Z28" i="2"/>
  <c r="H28" i="2"/>
  <c r="R27" i="2"/>
  <c r="AA26" i="2"/>
  <c r="E26" i="2"/>
  <c r="O26" i="2" s="1"/>
  <c r="J25" i="2"/>
  <c r="S24" i="2"/>
  <c r="X23" i="2"/>
  <c r="F23" i="2"/>
  <c r="P22" i="2"/>
  <c r="P35" i="2"/>
  <c r="X34" i="2"/>
  <c r="F34" i="2"/>
  <c r="P33" i="2"/>
  <c r="X32" i="2"/>
  <c r="F32" i="2"/>
  <c r="P31" i="2"/>
  <c r="X30" i="2"/>
  <c r="F30" i="2"/>
  <c r="P29" i="2"/>
  <c r="X28" i="2"/>
  <c r="G28" i="2"/>
  <c r="Q27" i="2"/>
  <c r="Z26" i="2"/>
  <c r="AB35" i="2"/>
  <c r="E35" i="2"/>
  <c r="N35" i="2" s="1"/>
  <c r="J34" i="2"/>
  <c r="S33" i="2"/>
  <c r="W32" i="2"/>
  <c r="AB31" i="2"/>
  <c r="E31" i="2"/>
  <c r="N31" i="2" s="1"/>
  <c r="J30" i="2"/>
  <c r="S29" i="2"/>
  <c r="W28" i="2"/>
  <c r="AC27" i="2"/>
  <c r="K27" i="2"/>
  <c r="V25" i="2"/>
  <c r="E24" i="2"/>
  <c r="O24" i="2" s="1"/>
  <c r="J22" i="2"/>
  <c r="R21" i="2"/>
  <c r="AA20" i="2"/>
  <c r="E20" i="2"/>
  <c r="J19" i="2"/>
  <c r="S18" i="2"/>
  <c r="X17" i="2"/>
  <c r="F17" i="2"/>
  <c r="P16" i="2"/>
  <c r="Z15" i="2"/>
  <c r="G15" i="2"/>
  <c r="Q14" i="2"/>
  <c r="AA13" i="2"/>
  <c r="H13" i="2"/>
  <c r="R12" i="2"/>
  <c r="W11" i="2"/>
  <c r="AB10" i="2"/>
  <c r="F10" i="2"/>
  <c r="AD25" i="2"/>
  <c r="U24" i="2"/>
  <c r="M23" i="2"/>
  <c r="AD21" i="2"/>
  <c r="L21" i="2"/>
  <c r="U20" i="2"/>
  <c r="AE19" i="2"/>
  <c r="M19" i="2"/>
  <c r="V18" i="2"/>
  <c r="AB17" i="2"/>
  <c r="E17" i="2"/>
  <c r="K16" i="2"/>
  <c r="T15" i="2"/>
  <c r="AC14" i="2"/>
  <c r="L14" i="2"/>
  <c r="U13" i="2"/>
  <c r="AE28" i="2"/>
  <c r="W26" i="2"/>
  <c r="K25" i="2"/>
  <c r="AD23" i="2"/>
  <c r="U22" i="2"/>
  <c r="L35" i="2"/>
  <c r="AD33" i="2"/>
  <c r="U32" i="2"/>
  <c r="L31" i="2"/>
  <c r="AD29" i="2"/>
  <c r="L29" i="2"/>
  <c r="U28" i="2"/>
  <c r="AE27" i="2"/>
  <c r="M27" i="2"/>
  <c r="V26" i="2"/>
  <c r="AB25" i="2"/>
  <c r="E25" i="2"/>
  <c r="N25" i="2" s="1"/>
  <c r="K24" i="2"/>
  <c r="T23" i="2"/>
  <c r="AC22" i="2"/>
  <c r="AC35" i="2"/>
  <c r="K35" i="2"/>
  <c r="T34" i="2"/>
  <c r="AC33" i="2"/>
  <c r="K33" i="2"/>
  <c r="T32" i="2"/>
  <c r="AC31" i="2"/>
  <c r="K31" i="2"/>
  <c r="T30" i="2"/>
  <c r="AC29" i="2"/>
  <c r="K29" i="2"/>
  <c r="T28" i="2"/>
  <c r="AD27" i="2"/>
  <c r="L27" i="2"/>
  <c r="U26" i="2"/>
  <c r="W35" i="2"/>
  <c r="AB34" i="2"/>
  <c r="E34" i="2"/>
  <c r="N34" i="2" s="1"/>
  <c r="J33" i="2"/>
  <c r="S32" i="2"/>
  <c r="W31" i="2"/>
  <c r="AB30" i="2"/>
  <c r="E30" i="2"/>
  <c r="N30" i="2" s="1"/>
  <c r="J29" i="2"/>
  <c r="S28" i="2"/>
  <c r="X27" i="2"/>
  <c r="F27" i="2"/>
  <c r="M25" i="2"/>
  <c r="W23" i="2"/>
  <c r="AE21" i="2"/>
  <c r="M21" i="2"/>
  <c r="V20" i="2"/>
  <c r="AB19" i="2"/>
  <c r="E19" i="2"/>
  <c r="N19" i="2" s="1"/>
  <c r="K18" i="2"/>
  <c r="T17" i="2"/>
  <c r="AC16" i="2"/>
  <c r="L16" i="2"/>
  <c r="U15" i="2"/>
  <c r="AD14" i="2"/>
  <c r="M14" i="2"/>
  <c r="V13" i="2"/>
  <c r="AE12" i="2"/>
  <c r="J12" i="2"/>
  <c r="S11" i="2"/>
  <c r="W10" i="2"/>
  <c r="AC9" i="2"/>
  <c r="U25" i="2"/>
  <c r="M24" i="2"/>
  <c r="AE22" i="2"/>
  <c r="Z21" i="2"/>
  <c r="G21" i="2"/>
  <c r="Q20" i="2"/>
  <c r="AA19" i="2"/>
  <c r="H19" i="2"/>
  <c r="AB16" i="2"/>
  <c r="F15" i="2"/>
  <c r="Z13" i="2"/>
  <c r="Z12" i="2"/>
  <c r="AE11" i="2"/>
  <c r="M11" i="2"/>
  <c r="V10" i="2"/>
  <c r="R25" i="2"/>
  <c r="J24" i="2"/>
  <c r="AB22" i="2"/>
  <c r="AC21" i="2"/>
  <c r="K21" i="2"/>
  <c r="T20" i="2"/>
  <c r="AD19" i="2"/>
  <c r="L19" i="2"/>
  <c r="U18" i="2"/>
  <c r="AE17" i="2"/>
  <c r="M17" i="2"/>
  <c r="V16" i="2"/>
  <c r="AB15" i="2"/>
  <c r="E15" i="2"/>
  <c r="Q25" i="2"/>
  <c r="H24" i="2"/>
  <c r="AA22" i="2"/>
  <c r="AB21" i="2"/>
  <c r="E21" i="2"/>
  <c r="N21" i="2" s="1"/>
  <c r="K20" i="2"/>
  <c r="T19" i="2"/>
  <c r="AC18" i="2"/>
  <c r="L18" i="2"/>
  <c r="U17" i="2"/>
  <c r="AD16" i="2"/>
  <c r="M16" i="2"/>
  <c r="S14" i="2"/>
  <c r="K13" i="2"/>
  <c r="AD11" i="2"/>
  <c r="U10" i="2"/>
  <c r="Z9" i="2"/>
  <c r="E9" i="2"/>
  <c r="O9" i="2" s="1"/>
  <c r="R14" i="2"/>
  <c r="J13" i="2"/>
  <c r="AC11" i="2"/>
  <c r="T10" i="2"/>
  <c r="T9" i="2"/>
  <c r="AA15" i="2"/>
  <c r="X13" i="2"/>
  <c r="P12" i="2"/>
  <c r="G11" i="2"/>
  <c r="G10" i="2"/>
  <c r="L9" i="2"/>
  <c r="V14" i="2"/>
  <c r="W12" i="2"/>
  <c r="F11" i="2"/>
  <c r="E10" i="2"/>
  <c r="L47" i="2"/>
  <c r="P47" i="2" s="1"/>
  <c r="AG47" i="2" s="1"/>
  <c r="L42" i="2"/>
  <c r="L48" i="2"/>
  <c r="P48" i="2" s="1"/>
  <c r="AA9" i="2"/>
  <c r="L49" i="2"/>
  <c r="P49" i="2" s="1"/>
  <c r="F9" i="2"/>
  <c r="L50" i="2"/>
  <c r="P50" i="2" s="1"/>
  <c r="S9" i="2"/>
  <c r="L10" i="2"/>
  <c r="L46" i="2"/>
  <c r="P46" i="2" s="1"/>
  <c r="AG46" i="2" s="1"/>
  <c r="L41" i="2"/>
  <c r="P41" i="2" s="1"/>
  <c r="F16" i="2"/>
  <c r="X14" i="2"/>
  <c r="Q13" i="2"/>
  <c r="Q12" i="2"/>
  <c r="AA11" i="2"/>
  <c r="H11" i="2"/>
  <c r="X26" i="2"/>
  <c r="H25" i="2"/>
  <c r="AB23" i="2"/>
  <c r="S22" i="2"/>
  <c r="X21" i="2"/>
  <c r="F21" i="2"/>
  <c r="P20" i="2"/>
  <c r="Z19" i="2"/>
  <c r="G19" i="2"/>
  <c r="Q18" i="2"/>
  <c r="AA17" i="2"/>
  <c r="H17" i="2"/>
  <c r="R16" i="2"/>
  <c r="W15" i="2"/>
  <c r="T26" i="2"/>
  <c r="G25" i="2"/>
  <c r="AA23" i="2"/>
  <c r="R22" i="2"/>
  <c r="W21" i="2"/>
  <c r="AB20" i="2"/>
  <c r="F20" i="2"/>
  <c r="P19" i="2"/>
  <c r="X18" i="2"/>
  <c r="G18" i="2"/>
  <c r="Q17" i="2"/>
  <c r="Z16" i="2"/>
  <c r="H16" i="2"/>
  <c r="K14" i="2"/>
  <c r="AC12" i="2"/>
  <c r="U11" i="2"/>
  <c r="P10" i="2"/>
  <c r="U9" i="2"/>
  <c r="AE15" i="2"/>
  <c r="J14" i="2"/>
  <c r="AB12" i="2"/>
  <c r="T11" i="2"/>
  <c r="P9" i="2"/>
  <c r="H15" i="2"/>
  <c r="P13" i="2"/>
  <c r="G12" i="2"/>
  <c r="Z10" i="2"/>
  <c r="AB9" i="2"/>
  <c r="E14" i="2"/>
  <c r="F12" i="2"/>
  <c r="X10" i="2"/>
  <c r="K9" i="2"/>
  <c r="L43" i="2"/>
  <c r="P43" i="2" s="1"/>
  <c r="L44" i="2"/>
  <c r="P44" i="2" s="1"/>
  <c r="AE14" i="2"/>
  <c r="R18" i="2"/>
  <c r="X15" i="2"/>
  <c r="P14" i="2"/>
  <c r="G13" i="2"/>
  <c r="M12" i="2"/>
  <c r="V11" i="2"/>
  <c r="AE10" i="2"/>
  <c r="H26" i="2"/>
  <c r="AA24" i="2"/>
  <c r="S23" i="2"/>
  <c r="L22" i="2"/>
  <c r="T21" i="2"/>
  <c r="AC20" i="2"/>
  <c r="L20" i="2"/>
  <c r="U19" i="2"/>
  <c r="AD18" i="2"/>
  <c r="M18" i="2"/>
  <c r="V17" i="2"/>
  <c r="AE16" i="2"/>
  <c r="J16" i="2"/>
  <c r="S15" i="2"/>
  <c r="G26" i="2"/>
  <c r="Z24" i="2"/>
  <c r="R23" i="2"/>
  <c r="K22" i="2"/>
  <c r="S21" i="2"/>
  <c r="W20" i="2"/>
  <c r="AC19" i="2"/>
  <c r="K19" i="2"/>
  <c r="T18" i="2"/>
  <c r="AD17" i="2"/>
  <c r="L17" i="2"/>
  <c r="U16" i="2"/>
  <c r="R15" i="2"/>
  <c r="AC13" i="2"/>
  <c r="T12" i="2"/>
  <c r="L11" i="2"/>
  <c r="J10" i="2"/>
  <c r="Q9" i="2"/>
  <c r="M15" i="2"/>
  <c r="AB13" i="2"/>
  <c r="S12" i="2"/>
  <c r="K11" i="2"/>
  <c r="AD9" i="2"/>
  <c r="M9" i="2"/>
  <c r="W14" i="2"/>
  <c r="F13" i="2"/>
  <c r="Z11" i="2"/>
  <c r="R10" i="2"/>
  <c r="W9" i="2"/>
  <c r="V15" i="2"/>
  <c r="W13" i="2"/>
  <c r="X11" i="2"/>
  <c r="Q10" i="2"/>
  <c r="V9" i="2"/>
  <c r="L45" i="2"/>
  <c r="P45" i="2" s="1"/>
  <c r="AG45" i="2" s="1"/>
  <c r="P11" i="2"/>
  <c r="R9" i="2"/>
  <c r="W17" i="2"/>
  <c r="P15" i="2"/>
  <c r="G14" i="2"/>
  <c r="AD12" i="2"/>
  <c r="H12" i="2"/>
  <c r="R11" i="2"/>
  <c r="AA10" i="2"/>
  <c r="AA25" i="2"/>
  <c r="R24" i="2"/>
  <c r="J23" i="2"/>
  <c r="F22" i="2"/>
  <c r="P21" i="2"/>
  <c r="X20" i="2"/>
  <c r="G20" i="2"/>
  <c r="Q19" i="2"/>
  <c r="Z18" i="2"/>
  <c r="H18" i="2"/>
  <c r="R17" i="2"/>
  <c r="AA16" i="2"/>
  <c r="E16" i="2"/>
  <c r="J15" i="2"/>
  <c r="Z25" i="2"/>
  <c r="Q24" i="2"/>
  <c r="H23" i="2"/>
  <c r="E22" i="2"/>
  <c r="O22" i="2" s="1"/>
  <c r="J21" i="2"/>
  <c r="S20" i="2"/>
  <c r="X19" i="2"/>
  <c r="F19" i="2"/>
  <c r="P18" i="2"/>
  <c r="Z17" i="2"/>
  <c r="G17" i="2"/>
  <c r="Q16" i="2"/>
  <c r="AB14" i="2"/>
  <c r="T13" i="2"/>
  <c r="L12" i="2"/>
  <c r="AD10" i="2"/>
  <c r="AE9" i="2"/>
  <c r="J9" i="2"/>
  <c r="AA14" i="2"/>
  <c r="S13" i="2"/>
  <c r="K12" i="2"/>
  <c r="AC10" i="2"/>
  <c r="X9" i="2"/>
  <c r="F14" i="2"/>
  <c r="X12" i="2"/>
  <c r="Q11" i="2"/>
  <c r="M10" i="2"/>
  <c r="E13" i="2"/>
  <c r="L51" i="2"/>
  <c r="P51" i="2" s="1"/>
  <c r="G23" i="2"/>
  <c r="Q34" i="2"/>
  <c r="Z31" i="2"/>
  <c r="AB27" i="2"/>
  <c r="AC24" i="2"/>
  <c r="M22" i="2"/>
  <c r="U33" i="2"/>
  <c r="AD30" i="2"/>
  <c r="B23" i="3"/>
  <c r="AD32" i="2"/>
  <c r="L30" i="2"/>
  <c r="J27" i="2"/>
  <c r="P24" i="2"/>
  <c r="Z35" i="2"/>
  <c r="G33" i="2"/>
  <c r="Q30" i="2"/>
  <c r="K26" i="2"/>
  <c r="U23" i="2"/>
  <c r="AD34" i="2"/>
  <c r="L32" i="2"/>
  <c r="S27" i="2"/>
  <c r="O28" i="2"/>
  <c r="AF28" i="2" l="1"/>
  <c r="N27" i="2"/>
  <c r="B27" i="2"/>
  <c r="C27" i="2" s="1"/>
  <c r="Y36" i="2"/>
  <c r="Y38" i="2"/>
  <c r="AF27" i="2"/>
  <c r="AG27" i="2" s="1"/>
  <c r="A27" i="2" s="1"/>
  <c r="P42" i="2"/>
  <c r="AG42" i="2" s="1"/>
  <c r="L52" i="2"/>
  <c r="B36" i="3" s="1"/>
  <c r="AF9" i="2"/>
  <c r="AG9" i="2" s="1"/>
  <c r="A9" i="2" s="1"/>
  <c r="N9" i="2"/>
  <c r="B28" i="2"/>
  <c r="C28" i="2" s="1"/>
  <c r="R38" i="2"/>
  <c r="V38" i="2"/>
  <c r="AG28" i="2"/>
  <c r="A28" i="2" s="1"/>
  <c r="V36" i="2"/>
  <c r="AA36" i="2"/>
  <c r="B24" i="2"/>
  <c r="C24" i="2" s="1"/>
  <c r="AE36" i="2"/>
  <c r="R36" i="2"/>
  <c r="P36" i="2"/>
  <c r="N20" i="2"/>
  <c r="O20" i="2"/>
  <c r="B20" i="2" s="1"/>
  <c r="C20" i="2" s="1"/>
  <c r="N14" i="2"/>
  <c r="O14" i="2"/>
  <c r="B14" i="2" s="1"/>
  <c r="C14" i="2" s="1"/>
  <c r="N16" i="2"/>
  <c r="O16" i="2"/>
  <c r="B16" i="2" s="1"/>
  <c r="C16" i="2" s="1"/>
  <c r="N10" i="2"/>
  <c r="O10" i="2"/>
  <c r="B10" i="2" s="1"/>
  <c r="C10" i="2" s="1"/>
  <c r="B22" i="2"/>
  <c r="C22" i="2" s="1"/>
  <c r="AE38" i="2"/>
  <c r="AA38" i="2"/>
  <c r="T36" i="2"/>
  <c r="B9" i="2"/>
  <c r="C9" i="2" s="1"/>
  <c r="O15" i="2"/>
  <c r="B15" i="2" s="1"/>
  <c r="C15" i="2" s="1"/>
  <c r="N15" i="2"/>
  <c r="N18" i="2"/>
  <c r="O18" i="2"/>
  <c r="B18" i="2" s="1"/>
  <c r="C18" i="2" s="1"/>
  <c r="N12" i="2"/>
  <c r="O12" i="2"/>
  <c r="O13" i="2"/>
  <c r="B13" i="2" s="1"/>
  <c r="C13" i="2" s="1"/>
  <c r="N13" i="2"/>
  <c r="O17" i="2"/>
  <c r="B17" i="2" s="1"/>
  <c r="C17" i="2" s="1"/>
  <c r="N17" i="2"/>
  <c r="B26" i="2"/>
  <c r="C26" i="2" s="1"/>
  <c r="AD38" i="2"/>
  <c r="AD36" i="2"/>
  <c r="B30" i="3" s="1"/>
  <c r="F30" i="3" s="1"/>
  <c r="U36" i="2"/>
  <c r="B33" i="3" s="1"/>
  <c r="F33" i="3" s="1"/>
  <c r="Z36" i="2"/>
  <c r="Q36" i="2"/>
  <c r="T38" i="2"/>
  <c r="U38" i="2"/>
  <c r="AC38" i="2"/>
  <c r="Z38" i="2"/>
  <c r="S38" i="2"/>
  <c r="A51" i="2"/>
  <c r="AG51" i="2"/>
  <c r="AB36" i="2"/>
  <c r="O21" i="2"/>
  <c r="B21" i="2" s="1"/>
  <c r="C21" i="2" s="1"/>
  <c r="AF21" i="2"/>
  <c r="AG21" i="2" s="1"/>
  <c r="A21" i="2" s="1"/>
  <c r="O25" i="2"/>
  <c r="B25" i="2" s="1"/>
  <c r="C25" i="2" s="1"/>
  <c r="N26" i="2"/>
  <c r="AF26" i="2"/>
  <c r="AG26" i="2" s="1"/>
  <c r="A26" i="2" s="1"/>
  <c r="O11" i="2"/>
  <c r="B11" i="2" s="1"/>
  <c r="O23" i="2"/>
  <c r="B23" i="2" s="1"/>
  <c r="C23" i="2" s="1"/>
  <c r="S36" i="2"/>
  <c r="Q38" i="2"/>
  <c r="C19" i="3"/>
  <c r="C7" i="3"/>
  <c r="AC36" i="2"/>
  <c r="AG44" i="2"/>
  <c r="A44" i="2"/>
  <c r="P38" i="2"/>
  <c r="A41" i="2"/>
  <c r="AG41" i="2"/>
  <c r="AG50" i="2"/>
  <c r="A50" i="2"/>
  <c r="O32" i="2"/>
  <c r="B32" i="2" s="1"/>
  <c r="C32" i="2" s="1"/>
  <c r="AF32" i="2"/>
  <c r="AG32" i="2" s="1"/>
  <c r="A32" i="2" s="1"/>
  <c r="O29" i="2"/>
  <c r="B29" i="2" s="1"/>
  <c r="C29" i="2" s="1"/>
  <c r="AF29" i="2"/>
  <c r="AG29" i="2" s="1"/>
  <c r="A29" i="2" s="1"/>
  <c r="J36" i="2"/>
  <c r="B27" i="3" s="1"/>
  <c r="F27" i="3" s="1"/>
  <c r="AB38" i="2"/>
  <c r="N22" i="2"/>
  <c r="AF22" i="2"/>
  <c r="AG22" i="2" s="1"/>
  <c r="A22" i="2" s="1"/>
  <c r="A43" i="2"/>
  <c r="AG43" i="2"/>
  <c r="O30" i="2"/>
  <c r="B30" i="2" s="1"/>
  <c r="C30" i="2" s="1"/>
  <c r="AF30" i="2"/>
  <c r="AG30" i="2" s="1"/>
  <c r="A30" i="2" s="1"/>
  <c r="O31" i="2"/>
  <c r="B31" i="2" s="1"/>
  <c r="C31" i="2" s="1"/>
  <c r="O33" i="2"/>
  <c r="B33" i="2" s="1"/>
  <c r="C33" i="2" s="1"/>
  <c r="AF33" i="2"/>
  <c r="AG33" i="2" s="1"/>
  <c r="A33" i="2" s="1"/>
  <c r="W36" i="2"/>
  <c r="W38" i="2"/>
  <c r="A40" i="2"/>
  <c r="AG40" i="2"/>
  <c r="A49" i="2"/>
  <c r="AG49" i="2"/>
  <c r="AG48" i="2"/>
  <c r="A48" i="2"/>
  <c r="O19" i="2"/>
  <c r="B19" i="2" s="1"/>
  <c r="C19" i="2" s="1"/>
  <c r="O34" i="2"/>
  <c r="B34" i="2" s="1"/>
  <c r="C34" i="2" s="1"/>
  <c r="AF34" i="2"/>
  <c r="AG34" i="2" s="1"/>
  <c r="A34" i="2" s="1"/>
  <c r="N24" i="2"/>
  <c r="AF24" i="2"/>
  <c r="AG24" i="2" s="1"/>
  <c r="A24" i="2" s="1"/>
  <c r="O35" i="2"/>
  <c r="B35" i="2" s="1"/>
  <c r="C35" i="2" s="1"/>
  <c r="AF35" i="2"/>
  <c r="AG35" i="2" s="1"/>
  <c r="A35" i="2" s="1"/>
  <c r="AF31" i="2" l="1"/>
  <c r="AG31" i="2" s="1"/>
  <c r="A31" i="2" s="1"/>
  <c r="AF23" i="2"/>
  <c r="AG23" i="2" s="1"/>
  <c r="A23" i="2" s="1"/>
  <c r="AF25" i="2"/>
  <c r="AG25" i="2" s="1"/>
  <c r="A25" i="2" s="1"/>
  <c r="AF19" i="2"/>
  <c r="AG19" i="2" s="1"/>
  <c r="A19" i="2" s="1"/>
  <c r="AF20" i="2"/>
  <c r="AG20" i="2" s="1"/>
  <c r="A20" i="2" s="1"/>
  <c r="AF18" i="2"/>
  <c r="AG18" i="2" s="1"/>
  <c r="A18" i="2" s="1"/>
  <c r="P52" i="2"/>
  <c r="F36" i="3" s="1"/>
  <c r="AF16" i="2"/>
  <c r="AG16" i="2" s="1"/>
  <c r="A16" i="2" s="1"/>
  <c r="AF17" i="2"/>
  <c r="AG17" i="2" s="1"/>
  <c r="A17" i="2" s="1"/>
  <c r="AF15" i="2"/>
  <c r="AG15" i="2" s="1"/>
  <c r="A15" i="2" s="1"/>
  <c r="AF13" i="2"/>
  <c r="AG13" i="2" s="1"/>
  <c r="A13" i="2" s="1"/>
  <c r="AF14" i="2"/>
  <c r="AG14" i="2" s="1"/>
  <c r="A14" i="2" s="1"/>
  <c r="B28" i="3"/>
  <c r="F28" i="3" s="1"/>
  <c r="A42" i="2"/>
  <c r="B34" i="3"/>
  <c r="F34" i="3" s="1"/>
  <c r="B12" i="2"/>
  <c r="C12" i="2" s="1"/>
  <c r="AF12" i="2"/>
  <c r="AG12" i="2" s="1"/>
  <c r="A12" i="2" s="1"/>
  <c r="AF11" i="2"/>
  <c r="AG11" i="2" s="1"/>
  <c r="A11" i="2" s="1"/>
  <c r="AF10" i="2"/>
  <c r="AG10" i="2" s="1"/>
  <c r="A10" i="2" s="1"/>
  <c r="B31" i="3"/>
  <c r="F31" i="3" s="1"/>
  <c r="B29" i="3"/>
  <c r="F29" i="3" s="1"/>
  <c r="B32" i="3"/>
  <c r="F32" i="3" s="1"/>
  <c r="N36" i="2"/>
  <c r="C11" i="2"/>
  <c r="B37" i="2" l="1"/>
  <c r="J37" i="2" s="1"/>
  <c r="N37" i="2" s="1"/>
  <c r="AG36" i="2"/>
  <c r="B35" i="3" l="1"/>
  <c r="F35" i="3" s="1"/>
  <c r="J38" i="2"/>
  <c r="N38" i="2" s="1"/>
  <c r="AG38" i="2" s="1"/>
  <c r="AG52" i="2" s="1"/>
  <c r="A53" i="2" s="1"/>
  <c r="B26" i="3" l="1"/>
  <c r="F26" i="3" s="1"/>
  <c r="F37" i="3" s="1"/>
  <c r="AC88" i="10" l="1"/>
  <c r="AA17" i="10" s="1"/>
  <c r="AA44" i="10" s="1"/>
</calcChain>
</file>

<file path=xl/sharedStrings.xml><?xml version="1.0" encoding="utf-8"?>
<sst xmlns="http://schemas.openxmlformats.org/spreadsheetml/2006/main" count="924" uniqueCount="421">
  <si>
    <t xml:space="preserve">Group/Unit, District and County: </t>
  </si>
  <si>
    <t>Entrants</t>
  </si>
  <si>
    <t>Date of birth</t>
  </si>
  <si>
    <t>Mark “F” if Female</t>
  </si>
  <si>
    <t>Connaught Team (‘SA’, ‘SB’, ‘JA’ , ‘JB’ etc.)</t>
  </si>
  <si>
    <r>
      <t xml:space="preserve">Mark “R”  if Range Officer </t>
    </r>
    <r>
      <rPr>
        <b/>
        <sz val="9"/>
        <color indexed="8"/>
        <rFont val="Times New Roman"/>
        <family val="1"/>
      </rPr>
      <t xml:space="preserve"> </t>
    </r>
  </si>
  <si>
    <t>Mark “X” if a Leader or RO not entering the Knockout</t>
  </si>
  <si>
    <t>Mark “N” if  a Leader or RO entering extra classes only.</t>
  </si>
  <si>
    <t>Own Airgun (Show if any airgun is to be shared)</t>
  </si>
  <si>
    <t>Rifles Supplied</t>
  </si>
  <si>
    <r>
      <t>6yd Rifle (Spring guns only)</t>
    </r>
    <r>
      <rPr>
        <sz val="10"/>
        <color indexed="8"/>
        <rFont val="Arial Narrow"/>
        <family val="2"/>
      </rPr>
      <t xml:space="preserve"> </t>
    </r>
  </si>
  <si>
    <t>Air Pistol</t>
  </si>
  <si>
    <t>Vintage Rifle (Spring guns  only)</t>
  </si>
  <si>
    <t>10 metre Rifle</t>
  </si>
  <si>
    <t>(both classes may be entered)</t>
  </si>
  <si>
    <t>Advanced Field Target</t>
  </si>
  <si>
    <t>Three - Position Air Rifle</t>
  </si>
  <si>
    <t>(Either Open or Sporter  class may be entered but not both)</t>
  </si>
  <si>
    <t>Full bore</t>
  </si>
  <si>
    <t>(One class only may be entered)</t>
  </si>
  <si>
    <t>Small-bore</t>
  </si>
  <si>
    <t>First Name</t>
  </si>
  <si>
    <t>Surname</t>
  </si>
  <si>
    <t>Open</t>
  </si>
  <si>
    <t>Sporter</t>
  </si>
  <si>
    <t>A</t>
  </si>
  <si>
    <t xml:space="preserve">A </t>
  </si>
  <si>
    <t xml:space="preserve">B  </t>
  </si>
  <si>
    <t>X</t>
  </si>
  <si>
    <t>B</t>
  </si>
  <si>
    <t>Team Name if applicable</t>
  </si>
  <si>
    <t xml:space="preserve"> Scout Association Member Number (Required for all entrants aged 18 &amp; over)</t>
  </si>
  <si>
    <t>Competitor Last Year? (Enter Y/N  or competitor number if known)</t>
  </si>
  <si>
    <t>f</t>
  </si>
  <si>
    <t>F</t>
  </si>
  <si>
    <t>Y</t>
  </si>
  <si>
    <t>N</t>
  </si>
  <si>
    <t>Sname</t>
  </si>
  <si>
    <t>Group</t>
  </si>
  <si>
    <t>Max</t>
  </si>
  <si>
    <t>JA</t>
  </si>
  <si>
    <t>JB</t>
  </si>
  <si>
    <t>JC</t>
  </si>
  <si>
    <t>SA</t>
  </si>
  <si>
    <t>Y13Share</t>
  </si>
  <si>
    <t>Y14Share</t>
  </si>
  <si>
    <t>Y15Share</t>
  </si>
  <si>
    <t>Y16Share</t>
  </si>
  <si>
    <t>Y17Share</t>
  </si>
  <si>
    <t>Y18Share</t>
  </si>
  <si>
    <t>SB</t>
  </si>
  <si>
    <t>SC</t>
  </si>
  <si>
    <t>SD</t>
  </si>
  <si>
    <t>SE</t>
  </si>
  <si>
    <t>SF</t>
  </si>
  <si>
    <t>SG</t>
  </si>
  <si>
    <t>Y12Share</t>
  </si>
  <si>
    <t>Y11Share</t>
  </si>
  <si>
    <t>Y10Share</t>
  </si>
  <si>
    <t>Y9Share</t>
  </si>
  <si>
    <t>Y8Share</t>
  </si>
  <si>
    <t>Y7Share</t>
  </si>
  <si>
    <t>Y6Share</t>
  </si>
  <si>
    <t>Y5Share</t>
  </si>
  <si>
    <t>Y4Share</t>
  </si>
  <si>
    <t>Y3Share</t>
  </si>
  <si>
    <t>Y2Share</t>
  </si>
  <si>
    <t>Y1Share</t>
  </si>
  <si>
    <t>R</t>
  </si>
  <si>
    <t>L</t>
  </si>
  <si>
    <t>Age</t>
  </si>
  <si>
    <t>Error 2 (MembNo)</t>
  </si>
  <si>
    <t>Warning 1 - LastYr</t>
  </si>
  <si>
    <t>Extra events permitted</t>
  </si>
  <si>
    <t>Error 7 - Too young in FB</t>
  </si>
  <si>
    <t>Error 9 - Too young for SB</t>
  </si>
  <si>
    <t>Extra events entered</t>
  </si>
  <si>
    <t>Error 11 - Too many Extra Events</t>
  </si>
  <si>
    <t>Ordinary Main Event Entrants</t>
  </si>
  <si>
    <t>@</t>
  </si>
  <si>
    <t>=</t>
  </si>
  <si>
    <t>Errors and Warnings</t>
  </si>
  <si>
    <t>Qualifying Date:</t>
  </si>
  <si>
    <t>Group or ESU Name:</t>
  </si>
  <si>
    <r>
      <t>4. Scout District / 5. Scout County/Area</t>
    </r>
    <r>
      <rPr>
        <sz val="10"/>
        <color indexed="8"/>
        <rFont val="Arial Narrow"/>
        <family val="2"/>
      </rPr>
      <t xml:space="preserve"> </t>
    </r>
  </si>
  <si>
    <t>Scarf Colour(s)</t>
  </si>
  <si>
    <r>
      <t>e-mail address:</t>
    </r>
    <r>
      <rPr>
        <sz val="11"/>
        <color indexed="8"/>
        <rFont val="Arial Narrow"/>
        <family val="2"/>
      </rPr>
      <t xml:space="preserve"> </t>
    </r>
  </si>
  <si>
    <r>
      <t xml:space="preserve">Certificate: </t>
    </r>
    <r>
      <rPr>
        <sz val="10"/>
        <color indexed="8"/>
        <rFont val="Arial Narrow"/>
        <family val="2"/>
      </rPr>
      <t xml:space="preserve">I confirm that all the entrants named overleaf are Members of the Scout Association as defined in POR and of the above Group/Unit, District and County/Area, that I am satisfied as to the physical and mental capability of each entrant to undertake the activity safely (see competition Rule 2) and that written parental consent has been or will be obtained for each entrant aged less than 18 years. </t>
    </r>
  </si>
  <si>
    <t>Signed:</t>
  </si>
  <si>
    <t>Date:</t>
  </si>
  <si>
    <t>Name:</t>
  </si>
  <si>
    <t>Telephone No.</t>
  </si>
  <si>
    <t>Yes / No</t>
  </si>
  <si>
    <r>
      <t xml:space="preserve">Do you require your receipt sent immediately? </t>
    </r>
    <r>
      <rPr>
        <b/>
        <sz val="10"/>
        <color indexed="8"/>
        <rFont val="Arial Narrow"/>
        <family val="2"/>
      </rPr>
      <t>(requires s.a.e.)</t>
    </r>
  </si>
  <si>
    <t>Number</t>
  </si>
  <si>
    <t xml:space="preserve">District                                                                       </t>
  </si>
  <si>
    <t>County/Area:</t>
  </si>
  <si>
    <t xml:space="preserve">Postcode </t>
  </si>
  <si>
    <t xml:space="preserve">Our estimated time of arrival at Bisley will be: </t>
  </si>
  <si>
    <t xml:space="preserve"> (day)</t>
  </si>
  <si>
    <t>ENTRY FORM</t>
  </si>
  <si>
    <t>Instructions:</t>
  </si>
  <si>
    <t>Boxes in Green are for your data</t>
  </si>
  <si>
    <t>Boxes in blue are calculated for you</t>
  </si>
  <si>
    <t>Team Type:</t>
  </si>
  <si>
    <t>3. Scout Group with an Explorer Scout Unit attached specifically to it</t>
  </si>
  <si>
    <t>1. Scout Group / 2. Explorer Scout Unit not attached to a Group</t>
  </si>
  <si>
    <t>Error 12 - Too old for Junior Connaught Team</t>
  </si>
  <si>
    <t>SH</t>
  </si>
  <si>
    <t>Read any other warnings and check that your data is correct.</t>
  </si>
  <si>
    <t>Day</t>
  </si>
  <si>
    <t>Month</t>
  </si>
  <si>
    <t>Yr</t>
  </si>
  <si>
    <t>Daydiff</t>
  </si>
  <si>
    <t>Mondif</t>
  </si>
  <si>
    <t>Yrdiff</t>
  </si>
  <si>
    <t>AgeYrs</t>
  </si>
  <si>
    <t>10to13</t>
  </si>
  <si>
    <t>18to24</t>
  </si>
  <si>
    <t>25&amp;up</t>
  </si>
  <si>
    <t xml:space="preserve">Group/Unit: </t>
  </si>
  <si>
    <t xml:space="preserve">Team Type: </t>
  </si>
  <si>
    <t>-</t>
  </si>
  <si>
    <t>Class</t>
  </si>
  <si>
    <t>Shared Rifle?</t>
  </si>
  <si>
    <t>3-P Data without 3-P Entry</t>
  </si>
  <si>
    <t>Find over 25s in Connaught</t>
  </si>
  <si>
    <t>Team</t>
  </si>
  <si>
    <t>RO?</t>
  </si>
  <si>
    <t>Max allowed</t>
  </si>
  <si>
    <t>Non-Main?</t>
  </si>
  <si>
    <t xml:space="preserve">Team Composition (not counting ROs or Non-Mains):  </t>
  </si>
  <si>
    <t>18+</t>
  </si>
  <si>
    <t>Non-RO &amp; Non-Main</t>
  </si>
  <si>
    <t>13.5 to 14?</t>
  </si>
  <si>
    <t>14 to 17</t>
  </si>
  <si>
    <t>Team Errors:</t>
  </si>
  <si>
    <t>Number of over 18s</t>
  </si>
  <si>
    <t>Total size</t>
  </si>
  <si>
    <t>All team types</t>
  </si>
  <si>
    <t>Number of over 25s</t>
  </si>
  <si>
    <t>County Teams</t>
  </si>
  <si>
    <t>Type 1 Gp; no ESU</t>
  </si>
  <si>
    <t>Number of Young People</t>
  </si>
  <si>
    <t>Number of over 14s</t>
  </si>
  <si>
    <t>Type 2; ESU</t>
  </si>
  <si>
    <t>Number of over 13.5s</t>
  </si>
  <si>
    <t>Type 3; Gp + ESU</t>
  </si>
  <si>
    <t>Number of Under 14s</t>
  </si>
  <si>
    <t>Type 4; District</t>
  </si>
  <si>
    <t>Under 13.5s</t>
  </si>
  <si>
    <t>Type 5; County</t>
  </si>
  <si>
    <t>spare</t>
  </si>
  <si>
    <t>District</t>
  </si>
  <si>
    <t>County:</t>
  </si>
  <si>
    <t>TeamName</t>
  </si>
  <si>
    <t>TeamNo</t>
  </si>
  <si>
    <t>Group/ESU</t>
  </si>
  <si>
    <t>County</t>
  </si>
  <si>
    <t>ScarfColours</t>
  </si>
  <si>
    <t>EmContactPhone</t>
  </si>
  <si>
    <t>Approver-Name</t>
  </si>
  <si>
    <t>Approver-Phone</t>
  </si>
  <si>
    <t>Approver-Appt</t>
  </si>
  <si>
    <t>ETA(Time)</t>
  </si>
  <si>
    <t>ETA(Day)</t>
  </si>
  <si>
    <t>Team Type</t>
  </si>
  <si>
    <t>Postcode</t>
  </si>
  <si>
    <t xml:space="preserve">Name: </t>
  </si>
  <si>
    <t xml:space="preserve">Address: </t>
  </si>
  <si>
    <t xml:space="preserve">Telephone Number(s): </t>
  </si>
  <si>
    <t>Team Contact (Before the camp)</t>
  </si>
  <si>
    <t>TeamContactAddress</t>
  </si>
  <si>
    <t>Team Contact Name</t>
  </si>
  <si>
    <t>TeamContactPhone</t>
  </si>
  <si>
    <t>GroupID</t>
  </si>
  <si>
    <t>CompNo:</t>
  </si>
  <si>
    <t>FirstName</t>
  </si>
  <si>
    <t>ConTeam</t>
  </si>
  <si>
    <t>Female</t>
  </si>
  <si>
    <t>R (Range Oifficer)</t>
  </si>
  <si>
    <t>X (no knock)</t>
  </si>
  <si>
    <t>N (extra classes only)</t>
  </si>
  <si>
    <t>Date of Birth</t>
  </si>
  <si>
    <t>J/S?</t>
  </si>
  <si>
    <t>MAIN</t>
  </si>
  <si>
    <t>6yd Rifle Recoiling</t>
  </si>
  <si>
    <t>Own Pistol</t>
  </si>
  <si>
    <t>Vintage</t>
  </si>
  <si>
    <t>10Metre (OPEN)</t>
  </si>
  <si>
    <t>10Metre (SPORTER)</t>
  </si>
  <si>
    <t>Summer Biathlon</t>
  </si>
  <si>
    <t>Full A</t>
  </si>
  <si>
    <t>Full B</t>
  </si>
  <si>
    <t>Small A</t>
  </si>
  <si>
    <t>Small B</t>
  </si>
  <si>
    <t>Small X</t>
  </si>
  <si>
    <t xml:space="preserve">No shooting entered; use Group sheet for non-RO non-shooters. </t>
  </si>
  <si>
    <t>Scout</t>
  </si>
  <si>
    <t>Check for Team Composition Errors:</t>
  </si>
  <si>
    <t>Check for 3-P Team composition Errors:</t>
  </si>
  <si>
    <t xml:space="preserve">Error if: </t>
  </si>
  <si>
    <t>More than 3 occurrences of same team name</t>
  </si>
  <si>
    <t>No in Team</t>
  </si>
  <si>
    <t>Open?</t>
  </si>
  <si>
    <t>No. Open in same team</t>
  </si>
  <si>
    <t>max 3</t>
  </si>
  <si>
    <t>max 2</t>
  </si>
  <si>
    <t>More than 2 occurrences  of "Open" within same team name</t>
  </si>
  <si>
    <t>Error message</t>
  </si>
  <si>
    <t>New?</t>
  </si>
  <si>
    <t>&gt;2 Non-Sporter</t>
  </si>
  <si>
    <t>Team &gt;3</t>
  </si>
  <si>
    <t xml:space="preserve">6yd Rifle (Spring guns only) </t>
  </si>
  <si>
    <t>(One class only may be entered) Class</t>
  </si>
  <si>
    <t xml:space="preserve"> Number (Required for all entrants aged 18 &amp; over)</t>
  </si>
  <si>
    <t>Competed Last Year?</t>
  </si>
  <si>
    <t>(Enter Y/N  or competitor number if known)</t>
  </si>
  <si>
    <t>Association Member</t>
  </si>
  <si>
    <t>Leader or</t>
  </si>
  <si>
    <t>RO not entering</t>
  </si>
  <si>
    <t>the Knockout or any Main Event?</t>
  </si>
  <si>
    <t>Team of 3?</t>
  </si>
  <si>
    <t>Share 6yd Rifle?</t>
  </si>
  <si>
    <t>Share Own Pistol?</t>
  </si>
  <si>
    <t>Share Vintage Rifle?</t>
  </si>
  <si>
    <t>Share Sporter Rifle?</t>
  </si>
  <si>
    <t>Share Rifle for 3P?</t>
  </si>
  <si>
    <t>3P Team</t>
  </si>
  <si>
    <t>Check for Gun Sharing Errors</t>
  </si>
  <si>
    <t>6yd Rifle</t>
  </si>
  <si>
    <t>10m Open</t>
  </si>
  <si>
    <t>10m Sporter</t>
  </si>
  <si>
    <t>AFT</t>
  </si>
  <si>
    <t>3-P</t>
  </si>
  <si>
    <t>Gun</t>
  </si>
  <si>
    <t>6yd Own Rifle</t>
  </si>
  <si>
    <t>Vintage Rifle</t>
  </si>
  <si>
    <t>Adv. FT</t>
  </si>
  <si>
    <t>Errors</t>
  </si>
  <si>
    <t xml:space="preserve">Error messages: </t>
  </si>
  <si>
    <t>Too many people sharing?</t>
  </si>
  <si>
    <t>Count</t>
  </si>
  <si>
    <t>Gun used too may times (across several events)</t>
  </si>
  <si>
    <t>Message</t>
  </si>
  <si>
    <t>Identify Vintage Rifles used in other events</t>
  </si>
  <si>
    <t>Team Composition &amp; Rifle usage Warnings:</t>
  </si>
  <si>
    <t>Sole use?</t>
  </si>
  <si>
    <t>Non-Main event shooter in Connaught Team!</t>
  </si>
  <si>
    <t>latest d.o.b. for SB</t>
  </si>
  <si>
    <t>latest d.o.b. for FB</t>
  </si>
  <si>
    <t>age in days</t>
  </si>
  <si>
    <t>Remarks</t>
  </si>
  <si>
    <t xml:space="preserve">Squad for FB on Sunday! </t>
  </si>
  <si>
    <t xml:space="preserve">Squad for S-B on Sunday! </t>
  </si>
  <si>
    <t>Name Incomplete</t>
  </si>
  <si>
    <t>Entrant</t>
  </si>
  <si>
    <t>Check Pistols are not also identified as Rifles.</t>
  </si>
  <si>
    <t>Other Shooters not in Main Event</t>
  </si>
  <si>
    <t>Non-Shooting adults</t>
  </si>
  <si>
    <t>Individual fee (Shooters &amp; ROs)</t>
  </si>
  <si>
    <t>Event Fee</t>
  </si>
  <si>
    <t>Check the entries and costs shown on the "Cost Calc" sheet. Print this if you wish. It shows individual costs.</t>
  </si>
  <si>
    <r>
      <t xml:space="preserve">Fill in </t>
    </r>
    <r>
      <rPr>
        <b/>
        <sz val="12"/>
        <rFont val="Arial"/>
        <family val="2"/>
      </rPr>
      <t xml:space="preserve">all </t>
    </r>
    <r>
      <rPr>
        <sz val="12"/>
        <rFont val="Arial"/>
        <family val="2"/>
      </rPr>
      <t>the boxes in Green.</t>
    </r>
  </si>
  <si>
    <t>Ensure that you clear any "Major Errors" revealed by the data validation routines built into the sheet.</t>
  </si>
  <si>
    <t>Go to the "Group" sheet. Provided you have cleared all major errors, the calculated costs will be shown.</t>
  </si>
  <si>
    <t>Other Errors describing breaches of Rules:</t>
  </si>
  <si>
    <t>Other Warnings (not involving rule breaches of Rules):</t>
  </si>
  <si>
    <t>Daylight Event Count</t>
  </si>
  <si>
    <t>Spare</t>
  </si>
  <si>
    <r>
      <t xml:space="preserve">Hampshire Scout Rifle Club is an Activity Club of Hampshire Scout County (Charity No 1015788), Home Office Approved Rifle Club No. </t>
    </r>
    <r>
      <rPr>
        <sz val="9"/>
        <color indexed="8"/>
        <rFont val="Arial"/>
        <family val="2"/>
      </rPr>
      <t xml:space="preserve">CFP11 1/7/4/1/2/1/2/3/209 </t>
    </r>
    <r>
      <rPr>
        <i/>
        <sz val="10"/>
        <color indexed="8"/>
        <rFont val="Arial Narrow"/>
        <family val="2"/>
      </rPr>
      <t>and NSRA Affiliated Club No. 5962</t>
    </r>
  </si>
  <si>
    <r>
      <rPr>
        <b/>
        <sz val="14"/>
        <rFont val="Arial"/>
        <family val="2"/>
      </rPr>
      <t>If is showing "Invalid", clear the errors.</t>
    </r>
    <r>
      <rPr>
        <b/>
        <sz val="14"/>
        <color indexed="10"/>
        <rFont val="Arial"/>
        <family val="2"/>
      </rPr>
      <t xml:space="preserve"> </t>
    </r>
    <r>
      <rPr>
        <sz val="12"/>
        <rFont val="Arial"/>
        <family val="2"/>
      </rPr>
      <t>These may be viewed and printed using the "Error Report" sheet.</t>
    </r>
  </si>
  <si>
    <t>latest d.o.b. for entry</t>
  </si>
  <si>
    <t>Warning 2  - Check Date of Birth</t>
  </si>
  <si>
    <t>Warning 3 - Check Member No</t>
  </si>
  <si>
    <t>Warning 4 - Check Gender</t>
  </si>
  <si>
    <t>Warning 5 - Young RO</t>
  </si>
  <si>
    <t>TSA Member No.</t>
  </si>
  <si>
    <t>Error 4 (RO too young)</t>
  </si>
  <si>
    <t>Error 5 - Event(s) dropped</t>
  </si>
  <si>
    <t>Error 6 - No entrant on this line</t>
  </si>
  <si>
    <t>Age as at Saturday of Comp</t>
  </si>
  <si>
    <t>Multiple Classes?</t>
  </si>
  <si>
    <t>Yes</t>
  </si>
  <si>
    <t>No</t>
  </si>
  <si>
    <t>Scout Member Number</t>
  </si>
  <si>
    <t>Name</t>
  </si>
  <si>
    <t>Add any non-competitors in the bottom right-hand part of the sheet</t>
  </si>
  <si>
    <t>Total Team Entry Fee</t>
  </si>
  <si>
    <t>checksum</t>
  </si>
  <si>
    <t>Are you enclosing any supplementary sheets or certificates, if so, how many sheets?</t>
  </si>
  <si>
    <t>Boxes in yellow are for you, your DC, GSL DESC etc to complete in manuscript on the copy you send in with your cheque.</t>
  </si>
  <si>
    <t xml:space="preserve">Emergency Contact Telephone Number: </t>
  </si>
  <si>
    <t xml:space="preserve">Emergency Contact Name: </t>
  </si>
  <si>
    <t xml:space="preserve">Emergency Contact Address: </t>
  </si>
  <si>
    <t xml:space="preserve">Home Contact (During the camp)                     </t>
  </si>
  <si>
    <t>Appointment: GSL / DC / ADC / DESC / other (specify):</t>
  </si>
  <si>
    <t>(time)                                                on:</t>
  </si>
  <si>
    <t>EmContact Address</t>
  </si>
  <si>
    <t>Emergency Contact</t>
  </si>
  <si>
    <t>Team Contact-Email</t>
  </si>
  <si>
    <t>Fname</t>
  </si>
  <si>
    <t>TSA_Num</t>
  </si>
  <si>
    <t>RO entrants</t>
  </si>
  <si>
    <t>Start on the sheet named "Entrants"</t>
  </si>
  <si>
    <t>Return to the "Entrants" sheet and print it. This is your record of the competitor data you entered.</t>
  </si>
  <si>
    <t>Limits in formulae below</t>
  </si>
  <si>
    <t>(Q_Date expressed in Days)</t>
  </si>
  <si>
    <t>To update from year to year:</t>
  </si>
  <si>
    <t>Warnings &amp; Remarks</t>
  </si>
  <si>
    <t>Competed last year</t>
  </si>
  <si>
    <t>Find over 18s in Connaught</t>
  </si>
  <si>
    <t>Over 18s Connaught Error?</t>
  </si>
  <si>
    <t>Check Teams for over 18s</t>
  </si>
  <si>
    <t>Check Teams for over 25s</t>
  </si>
  <si>
    <t>and</t>
  </si>
  <si>
    <t>Range Staff</t>
  </si>
  <si>
    <t>&amp; Range Staff</t>
  </si>
  <si>
    <t>* List the name and Scout Association Member Number of</t>
  </si>
  <si>
    <t>Camp Only - Excludes ROs</t>
  </si>
  <si>
    <r>
      <rPr>
        <sz val="10"/>
        <color indexed="8"/>
        <rFont val="Arial Narrow"/>
        <family val="2"/>
      </rPr>
      <t>Team Name</t>
    </r>
    <r>
      <rPr>
        <sz val="9"/>
        <color indexed="8"/>
        <rFont val="Arial Narrow"/>
        <family val="2"/>
      </rPr>
      <t xml:space="preserve"> if applicable</t>
    </r>
  </si>
  <si>
    <t>Insert previous years list of actual competitors from Results database in LastYrList and adjust length as necessary (Note inclusion of 'Y' &amp; 'N' at start of list).</t>
  </si>
  <si>
    <t>INITIAL ENTRY FORM - TEAM MEMBER DETAILS</t>
  </si>
  <si>
    <t>Mark “H" if Honours Only in all classes</t>
  </si>
  <si>
    <t>H</t>
  </si>
  <si>
    <t>h</t>
  </si>
  <si>
    <t>ISSF Target Sprint</t>
  </si>
  <si>
    <r>
      <t xml:space="preserve">If you have additional would-be entrants whom you cannot accommodate within the limited team sizes for your initial entry, list them on the </t>
    </r>
    <r>
      <rPr>
        <b/>
        <sz val="12"/>
        <rFont val="Arial"/>
        <family val="2"/>
      </rPr>
      <t xml:space="preserve">Supplementary </t>
    </r>
    <r>
      <rPr>
        <sz val="12"/>
        <rFont val="Arial"/>
        <family val="2"/>
      </rPr>
      <t>sheet</t>
    </r>
    <r>
      <rPr>
        <b/>
        <sz val="12"/>
        <rFont val="Arial"/>
        <family val="2"/>
      </rPr>
      <t xml:space="preserve"> in descending order of priority for consideration</t>
    </r>
    <r>
      <rPr>
        <sz val="12"/>
        <rFont val="Arial"/>
        <family val="2"/>
      </rPr>
      <t>. Print this sheet if you wish. It will show the entry fee that would be payable for each person if they are offered a place for all the classes shown.
Those costs will NOT be included within the calculated totals for the Group. Supplementary entries will be considered after the closing date when all initial entries received up to that point have been processed. You will then be contacted with details of places offered and invited to confirm them by sending the appropriate entry fee.</t>
    </r>
  </si>
  <si>
    <t>SUPPLEMENTARY ENTRY FORM - BID FOR ADDITIONAL PLACES</t>
  </si>
  <si>
    <t>Include all range Officers on "Entrants" sheet</t>
  </si>
  <si>
    <t xml:space="preserve">District: </t>
  </si>
  <si>
    <t>Q_Date in cell $AH$5 from Entrants sheet</t>
  </si>
  <si>
    <t>Member Number</t>
  </si>
  <si>
    <t>Last Year?</t>
  </si>
  <si>
    <t>Connaught Team</t>
  </si>
  <si>
    <t xml:space="preserve">Range Officer  </t>
  </si>
  <si>
    <t>HO?</t>
  </si>
  <si>
    <t xml:space="preserve">Vintage </t>
  </si>
  <si>
    <t>No Knockout or no Main?</t>
  </si>
  <si>
    <t>Connaught Team &amp; Own Gun usage Warnings:</t>
  </si>
  <si>
    <t>3P Open</t>
  </si>
  <si>
    <t>3P Sporter</t>
  </si>
  <si>
    <t>3P Team Name if applicable</t>
  </si>
  <si>
    <t>Small-bore B</t>
  </si>
  <si>
    <t>Individual Entry Fee</t>
  </si>
  <si>
    <t xml:space="preserve">Sheet </t>
  </si>
  <si>
    <t>of</t>
  </si>
  <si>
    <t>sheets</t>
  </si>
  <si>
    <t>For computer entry only; type in light green spaces.</t>
  </si>
  <si>
    <t>Share Rifle for Target Sprint?</t>
  </si>
  <si>
    <t>3-Position (SPORTER)</t>
  </si>
  <si>
    <t>3-Position (OPEN)</t>
  </si>
  <si>
    <t>Share AFT Rifle?</t>
  </si>
  <si>
    <t>Share 10m Rifle for OPEN?</t>
  </si>
  <si>
    <t>Supplementary Entry Bids:</t>
  </si>
  <si>
    <t>Honours Only?</t>
  </si>
  <si>
    <t xml:space="preserve">List additional applications in Descending order of Preference (most preferred first).                                                                       </t>
  </si>
  <si>
    <t>Initial Entry</t>
  </si>
  <si>
    <t>Initial Entry cont'd.</t>
  </si>
  <si>
    <t>Supplementary Entry Bids cont'd.</t>
  </si>
  <si>
    <r>
      <t xml:space="preserve">  each non-shooting adult (</t>
    </r>
    <r>
      <rPr>
        <b/>
        <u/>
        <sz val="9"/>
        <color indexed="8"/>
        <rFont val="Arial Narrow"/>
        <family val="2"/>
      </rPr>
      <t>ex</t>
    </r>
    <r>
      <rPr>
        <sz val="9"/>
        <color indexed="8"/>
        <rFont val="Arial Narrow"/>
        <family val="2"/>
      </rPr>
      <t>cluding qualified Range Staff)
  below for a DBA records check and to provide the</t>
    </r>
  </si>
  <si>
    <t xml:space="preserve">  information for a roll call in the event of emergency.</t>
  </si>
  <si>
    <t>Target Sprint Class A</t>
  </si>
  <si>
    <t>Target Sprint Class B</t>
  </si>
  <si>
    <t>Change Q_Date in cell $AG$5</t>
  </si>
  <si>
    <t>Target Sprint 'A'</t>
  </si>
  <si>
    <t>Target Sprint 'B'</t>
  </si>
  <si>
    <t>Over 25s Connaught Error?</t>
  </si>
  <si>
    <t>Class A</t>
  </si>
  <si>
    <t>Class B</t>
  </si>
  <si>
    <t>ISSF Target Sprint A</t>
  </si>
  <si>
    <t>ISSF Target Sprint B</t>
  </si>
  <si>
    <t>Small-bore A/X</t>
  </si>
  <si>
    <t>Fullbore A/B</t>
  </si>
  <si>
    <t>Total Supplementary Fee:</t>
  </si>
  <si>
    <t>Cheque payable to “Hampshire County Scout Council”.   Total:</t>
  </si>
  <si>
    <t>Click Home &gt; Format.</t>
  </si>
  <si>
    <t>Under Visibility, click Hide &amp; Unhide, and then click Unhide Sheet.</t>
  </si>
  <si>
    <t xml:space="preserve">In the Unhide box, double-click the name of the hidden sheet that you want to display. </t>
  </si>
  <si>
    <t>To Display a hidden worksheet</t>
  </si>
  <si>
    <t>Review date sensitive validation criteria (link to last yr results in col G)</t>
  </si>
  <si>
    <r>
      <rPr>
        <b/>
        <sz val="9"/>
        <color indexed="8"/>
        <rFont val="Arial Narrow"/>
        <family val="2"/>
      </rPr>
      <t>Target Sprint</t>
    </r>
    <r>
      <rPr>
        <sz val="9"/>
        <color indexed="8"/>
        <rFont val="Arial Narrow"/>
        <family val="2"/>
      </rPr>
      <t xml:space="preserve">
Both classes may be entered but see Rule 30f</t>
    </r>
  </si>
  <si>
    <t xml:space="preserve">(Spring guns only) </t>
  </si>
  <si>
    <t xml:space="preserve"> (Spring guns  only)</t>
  </si>
  <si>
    <t xml:space="preserve">Rifle </t>
  </si>
  <si>
    <t xml:space="preserve">6yd </t>
  </si>
  <si>
    <t>Pistol</t>
  </si>
  <si>
    <t>Air</t>
  </si>
  <si>
    <t>Rifle</t>
  </si>
  <si>
    <t>Advanced (Hunter) Field Target</t>
  </si>
  <si>
    <r>
      <t xml:space="preserve">Fill in the Team type, Group/Unit, District &amp; County and the individual competitors' details on the "Entrants" sheet
</t>
    </r>
    <r>
      <rPr>
        <b/>
        <i/>
        <sz val="12"/>
        <rFont val="Arial"/>
        <family val="2"/>
      </rPr>
      <t>Include Range Staff on the same list as competitors, even if they are not competing in any events</t>
    </r>
    <r>
      <rPr>
        <i/>
        <sz val="12"/>
        <rFont val="Arial"/>
        <family val="2"/>
      </rPr>
      <t>.</t>
    </r>
  </si>
  <si>
    <t>Errors, Warnings &amp; Remarks relating to specified entrants:</t>
  </si>
  <si>
    <t>NB: S-B on Sunday only</t>
  </si>
  <si>
    <t>NB: FB on Sunday only</t>
  </si>
  <si>
    <t>Warnings</t>
  </si>
  <si>
    <t>Data Protection</t>
  </si>
  <si>
    <t>may produce errors.</t>
  </si>
  <si>
    <t>This workbook is for use with Excel 2007 or later on Windows-based systems. Attempting to open it on other systems</t>
  </si>
  <si>
    <t xml:space="preserve">Error 3 - Invalid Comp Number from last year NOT USED </t>
  </si>
  <si>
    <t>Operating System</t>
  </si>
  <si>
    <t>championships@hampshirescoutrifleclub.org.uk</t>
  </si>
  <si>
    <t xml:space="preserve">FORTY-THIRD NATIONAL SCOUT RIFLE CHAMPIONSHIPS </t>
  </si>
  <si>
    <t>BISLEY, 18th  – 20th October 2019</t>
  </si>
  <si>
    <t>Insert previous years list of actual competitors from Results database in dark purple area &amp; adjust length as necessary (Note inclusion of 'Y' &amp; 'N' at start of list).</t>
  </si>
  <si>
    <t>These fields are calculated from the table copied in.</t>
  </si>
  <si>
    <t>CompNo</t>
  </si>
  <si>
    <t>FName</t>
  </si>
  <si>
    <t>TSANo</t>
  </si>
  <si>
    <t>DOB</t>
  </si>
  <si>
    <t>2018 competitors (from Scores database)</t>
  </si>
  <si>
    <t>Did Not Shoot</t>
  </si>
  <si>
    <t>Warning 2  - Check Date of birth</t>
  </si>
  <si>
    <t>Warning 4 - Gender</t>
  </si>
  <si>
    <t>Mark “L” if LH Pistol shooter</t>
  </si>
  <si>
    <t>LH Pistol Shooter</t>
  </si>
  <si>
    <t>l</t>
  </si>
  <si>
    <t xml:space="preserve">Closing date: Signed Entries with payment must be postmarked on or by Saturday 6th July 2019                 </t>
  </si>
  <si>
    <t>Extra Classes (See Rule 29 for limitations on how many may be entered)</t>
  </si>
  <si>
    <r>
      <t>Check and print a copy for signature and posting with your cheque and any other required documents such as Guest day forms and photocopies of Range Officer certification to:
Mrs J Burridge, 18 Talland Road, Titchfield Common, FAREHAM Hants PO14 4NJ</t>
    </r>
    <r>
      <rPr>
        <b/>
        <sz val="12"/>
        <rFont val="Arial"/>
        <family val="2"/>
      </rPr>
      <t>.
Note that emailed scanned images of certificates and forms are acceptable when entering. The original Guest Day Forms, however, must be brought to Bisley and handed in at team check-in.</t>
    </r>
  </si>
  <si>
    <t>Rename the file by putting your Group name in the file name instead of (---) and email it, with scanned images of certificates and forms if appropriate, to:</t>
  </si>
  <si>
    <t>This workbook will capture sensitive personal data and is for use only within The Scout Association for the purpose of administering the National Scout Rifle Championships.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</si>
</sst>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164" formatCode="0.0"/>
    <numFmt numFmtId="165" formatCode="dd/mm/yyyy;@"/>
    <numFmt numFmtId="166" formatCode="0.000"/>
    <numFmt numFmtId="167" formatCode="&quot;£&quot;#,##0.00"/>
    <numFmt numFmtId="168" formatCode="dd/mm/yy;@"/>
    <numFmt numFmtId="169" formatCode="0;\-0;;@"/>
  </numFmts>
  <fonts count="67" x14ac:knownFonts="1">
    <font>
      <sz val="10"/>
      <name val="Arial"/>
    </font>
    <font>
      <b/>
      <u/>
      <sz val="12"/>
      <color indexed="8"/>
      <name val="Arial Narrow"/>
      <family val="2"/>
    </font>
    <font>
      <b/>
      <sz val="6"/>
      <color indexed="8"/>
      <name val="Arial"/>
      <family val="2"/>
    </font>
    <font>
      <sz val="12"/>
      <color indexed="8"/>
      <name val="Times New Roman"/>
      <family val="1"/>
    </font>
    <font>
      <b/>
      <u/>
      <sz val="12"/>
      <color indexed="8"/>
      <name val="Arial"/>
      <family val="2"/>
    </font>
    <font>
      <b/>
      <sz val="12"/>
      <color indexed="8"/>
      <name val="Times New Roman"/>
      <family val="1"/>
    </font>
    <font>
      <b/>
      <sz val="11"/>
      <color indexed="8"/>
      <name val="Arial"/>
      <family val="2"/>
    </font>
    <font>
      <b/>
      <sz val="10"/>
      <color indexed="8"/>
      <name val="Arial Narrow"/>
      <family val="2"/>
    </font>
    <font>
      <sz val="10"/>
      <color indexed="8"/>
      <name val="Arial Narrow"/>
      <family val="2"/>
    </font>
    <font>
      <b/>
      <sz val="11"/>
      <color indexed="8"/>
      <name val="Arial Narrow"/>
      <family val="2"/>
    </font>
    <font>
      <sz val="9"/>
      <color indexed="8"/>
      <name val="Arial Narrow"/>
      <family val="2"/>
    </font>
    <font>
      <b/>
      <sz val="9"/>
      <color indexed="8"/>
      <name val="Times New Roman"/>
      <family val="1"/>
    </font>
    <font>
      <sz val="8"/>
      <color indexed="8"/>
      <name val="Arial Narrow"/>
      <family val="2"/>
    </font>
    <font>
      <sz val="8"/>
      <name val="Arial"/>
      <family val="2"/>
    </font>
    <font>
      <sz val="9"/>
      <color indexed="10"/>
      <name val="Arial Narrow"/>
      <family val="2"/>
    </font>
    <font>
      <b/>
      <sz val="10"/>
      <name val="Arial"/>
      <family val="2"/>
    </font>
    <font>
      <b/>
      <sz val="10"/>
      <color indexed="10"/>
      <name val="Arial"/>
      <family val="2"/>
    </font>
    <font>
      <b/>
      <sz val="10"/>
      <color indexed="8"/>
      <name val="Arial"/>
      <family val="2"/>
    </font>
    <font>
      <sz val="11"/>
      <color indexed="8"/>
      <name val="Arial Narrow"/>
      <family val="2"/>
    </font>
    <font>
      <i/>
      <sz val="10"/>
      <color indexed="8"/>
      <name val="Arial Narrow"/>
      <family val="2"/>
    </font>
    <font>
      <b/>
      <sz val="9"/>
      <color indexed="8"/>
      <name val="Arial Narrow"/>
      <family val="2"/>
    </font>
    <font>
      <sz val="9"/>
      <color indexed="8"/>
      <name val="Arial"/>
      <family val="2"/>
    </font>
    <font>
      <b/>
      <sz val="9"/>
      <color indexed="8"/>
      <name val="Arial"/>
      <family val="2"/>
    </font>
    <font>
      <i/>
      <sz val="10"/>
      <color indexed="8"/>
      <name val="Times New Roman"/>
      <family val="1"/>
    </font>
    <font>
      <sz val="10"/>
      <color indexed="8"/>
      <name val="Times New Roman"/>
      <family val="1"/>
    </font>
    <font>
      <b/>
      <sz val="12"/>
      <color indexed="8"/>
      <name val="Arial Narrow"/>
      <family val="2"/>
    </font>
    <font>
      <sz val="10"/>
      <name val="Arial"/>
      <family val="2"/>
    </font>
    <font>
      <sz val="10"/>
      <name val="Arial"/>
      <family val="2"/>
    </font>
    <font>
      <b/>
      <sz val="12"/>
      <name val="Arial"/>
      <family val="2"/>
    </font>
    <font>
      <sz val="12"/>
      <name val="Arial"/>
      <family val="2"/>
    </font>
    <font>
      <sz val="12"/>
      <color indexed="8"/>
      <name val="Arial"/>
      <family val="2"/>
    </font>
    <font>
      <b/>
      <sz val="14"/>
      <name val="Arial"/>
      <family val="2"/>
    </font>
    <font>
      <i/>
      <sz val="10"/>
      <color indexed="18"/>
      <name val="Arial"/>
      <family val="2"/>
    </font>
    <font>
      <sz val="8"/>
      <color indexed="43"/>
      <name val="Arial Narrow"/>
      <family val="2"/>
    </font>
    <font>
      <sz val="9"/>
      <name val="Arial Narrow"/>
      <family val="2"/>
    </font>
    <font>
      <b/>
      <sz val="8"/>
      <name val="Times New Roman"/>
      <family val="1"/>
    </font>
    <font>
      <sz val="8"/>
      <name val="Times New Roman"/>
      <family val="1"/>
    </font>
    <font>
      <sz val="8"/>
      <name val="Arial Narrow"/>
      <family val="2"/>
    </font>
    <font>
      <sz val="10"/>
      <name val="Arial Narrow"/>
      <family val="2"/>
    </font>
    <font>
      <sz val="11"/>
      <name val="Arial"/>
      <family val="2"/>
    </font>
    <font>
      <sz val="22"/>
      <color indexed="8"/>
      <name val="Arial"/>
      <family val="2"/>
    </font>
    <font>
      <sz val="22"/>
      <name val="Arial"/>
      <family val="2"/>
    </font>
    <font>
      <b/>
      <sz val="22"/>
      <color indexed="8"/>
      <name val="Arial"/>
      <family val="2"/>
    </font>
    <font>
      <b/>
      <sz val="14"/>
      <color indexed="10"/>
      <name val="Arial"/>
      <family val="2"/>
    </font>
    <font>
      <u/>
      <sz val="10"/>
      <color theme="10"/>
      <name val="Arial"/>
      <family val="2"/>
    </font>
    <font>
      <sz val="10"/>
      <color theme="0"/>
      <name val="Arial"/>
      <family val="2"/>
    </font>
    <font>
      <b/>
      <sz val="10"/>
      <color theme="0"/>
      <name val="Arial"/>
      <family val="2"/>
    </font>
    <font>
      <sz val="10"/>
      <color rgb="FF92D050"/>
      <name val="Arial"/>
      <family val="2"/>
    </font>
    <font>
      <sz val="8"/>
      <color rgb="FFFFCC00"/>
      <name val="Arial Narrow"/>
      <family val="2"/>
    </font>
    <font>
      <b/>
      <sz val="10"/>
      <color rgb="FFFF0000"/>
      <name val="Arial Black"/>
      <family val="2"/>
    </font>
    <font>
      <sz val="10"/>
      <color rgb="FFFF0000"/>
      <name val="Arial Black"/>
      <family val="2"/>
    </font>
    <font>
      <b/>
      <sz val="18"/>
      <name val="Arial"/>
      <family val="2"/>
    </font>
    <font>
      <sz val="9"/>
      <color theme="0"/>
      <name val="Arial"/>
      <family val="2"/>
    </font>
    <font>
      <sz val="9"/>
      <name val="Arial"/>
      <family val="2"/>
    </font>
    <font>
      <b/>
      <u/>
      <sz val="9"/>
      <color indexed="8"/>
      <name val="Arial Narrow"/>
      <family val="2"/>
    </font>
    <font>
      <b/>
      <sz val="8"/>
      <color indexed="8"/>
      <name val="Arial Narrow"/>
      <family val="2"/>
    </font>
    <font>
      <b/>
      <u/>
      <sz val="10"/>
      <color indexed="8"/>
      <name val="Arial Narrow"/>
      <family val="2"/>
    </font>
    <font>
      <sz val="10"/>
      <color theme="5" tint="-0.499984740745262"/>
      <name val="Arial"/>
      <family val="2"/>
    </font>
    <font>
      <i/>
      <sz val="12"/>
      <name val="Arial"/>
      <family val="2"/>
    </font>
    <font>
      <b/>
      <i/>
      <sz val="12"/>
      <name val="Arial"/>
      <family val="2"/>
    </font>
    <font>
      <b/>
      <sz val="14"/>
      <color rgb="FFFF0000"/>
      <name val="Arial"/>
      <family val="2"/>
    </font>
    <font>
      <sz val="10"/>
      <color rgb="FFFF0000"/>
      <name val="Arial"/>
      <family val="2"/>
    </font>
    <font>
      <b/>
      <sz val="12"/>
      <color rgb="FFFF0000"/>
      <name val="Arial"/>
      <family val="2"/>
    </font>
    <font>
      <sz val="11"/>
      <color rgb="FFFF0000"/>
      <name val="Arial"/>
      <family val="2"/>
    </font>
    <font>
      <b/>
      <u/>
      <sz val="16"/>
      <color rgb="FFFF0000"/>
      <name val="Arial"/>
      <family val="2"/>
    </font>
    <font>
      <u/>
      <sz val="12"/>
      <color theme="10"/>
      <name val="Arial"/>
      <family val="2"/>
    </font>
    <font>
      <sz val="10"/>
      <color indexed="8"/>
      <name val="Arial"/>
      <family val="2"/>
    </font>
  </fonts>
  <fills count="2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rgb="FF66FFFF"/>
        <bgColor indexed="64"/>
      </patternFill>
    </fill>
    <fill>
      <patternFill patternType="solid">
        <fgColor rgb="FFFF99FF"/>
        <bgColor indexed="64"/>
      </patternFill>
    </fill>
    <fill>
      <patternFill patternType="solid">
        <fgColor rgb="FFFFCC9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s>
  <borders count="85">
    <border>
      <left/>
      <right/>
      <top/>
      <bottom/>
      <diagonal/>
    </border>
    <border>
      <left/>
      <right style="dotted">
        <color indexed="64"/>
      </right>
      <top/>
      <bottom/>
      <diagonal/>
    </border>
    <border>
      <left/>
      <right style="medium">
        <color indexed="64"/>
      </right>
      <top/>
      <bottom/>
      <diagonal/>
    </border>
    <border>
      <left style="dotted">
        <color indexed="64"/>
      </left>
      <right style="dotted">
        <color indexed="64"/>
      </right>
      <top/>
      <bottom/>
      <diagonal/>
    </border>
    <border>
      <left style="medium">
        <color indexed="64"/>
      </left>
      <right style="medium">
        <color indexed="64"/>
      </right>
      <top/>
      <bottom/>
      <diagonal/>
    </border>
    <border>
      <left style="dotted">
        <color indexed="64"/>
      </left>
      <right/>
      <top/>
      <bottom/>
      <diagonal/>
    </border>
    <border>
      <left style="medium">
        <color indexed="64"/>
      </left>
      <right/>
      <top/>
      <bottom/>
      <diagonal/>
    </border>
    <border>
      <left style="thin">
        <color indexed="64"/>
      </left>
      <right style="medium">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dotted">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style="dotted">
        <color indexed="64"/>
      </left>
      <right style="dotted">
        <color indexed="64"/>
      </right>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dotted">
        <color indexed="64"/>
      </left>
      <right style="thick">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medium">
        <color indexed="64"/>
      </top>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44" fillId="0" borderId="0" applyNumberFormat="0" applyFill="0" applyBorder="0" applyAlignment="0" applyProtection="0"/>
    <xf numFmtId="0" fontId="27" fillId="0" borderId="0"/>
  </cellStyleXfs>
  <cellXfs count="653">
    <xf numFmtId="0" fontId="0" fillId="0" borderId="0" xfId="0"/>
    <xf numFmtId="0" fontId="0" fillId="0" borderId="0" xfId="0" applyAlignment="1">
      <alignment horizontal="center"/>
    </xf>
    <xf numFmtId="0" fontId="0" fillId="0" borderId="1" xfId="0" applyBorder="1" applyAlignment="1">
      <alignment textRotation="90" wrapText="1"/>
    </xf>
    <xf numFmtId="0" fontId="10" fillId="0" borderId="2" xfId="0" applyFont="1" applyBorder="1" applyAlignment="1">
      <alignment horizontal="center" wrapText="1"/>
    </xf>
    <xf numFmtId="0" fontId="10" fillId="0" borderId="3" xfId="0" applyFont="1" applyBorder="1" applyAlignment="1">
      <alignment textRotation="90" wrapText="1"/>
    </xf>
    <xf numFmtId="0" fontId="10" fillId="0" borderId="4" xfId="0" applyFont="1" applyBorder="1" applyAlignment="1">
      <alignment textRotation="90" wrapText="1"/>
    </xf>
    <xf numFmtId="0" fontId="8" fillId="0" borderId="3" xfId="0" applyFont="1" applyBorder="1" applyAlignment="1">
      <alignment horizontal="center" vertical="top" wrapText="1"/>
    </xf>
    <xf numFmtId="0" fontId="10" fillId="0" borderId="5" xfId="0" applyFont="1" applyBorder="1" applyAlignment="1">
      <alignment textRotation="90" wrapText="1"/>
    </xf>
    <xf numFmtId="0" fontId="0" fillId="0" borderId="6" xfId="0" applyBorder="1"/>
    <xf numFmtId="0" fontId="0" fillId="0" borderId="0" xfId="0" applyBorder="1"/>
    <xf numFmtId="0" fontId="10" fillId="0" borderId="4" xfId="0" applyFont="1" applyBorder="1" applyAlignment="1">
      <alignment horizontal="center" wrapText="1"/>
    </xf>
    <xf numFmtId="0" fontId="8" fillId="0" borderId="8" xfId="0" applyFont="1" applyBorder="1" applyAlignment="1">
      <alignment horizont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0" fillId="0" borderId="0" xfId="0" applyAlignment="1"/>
    <xf numFmtId="0" fontId="12" fillId="0" borderId="8" xfId="0" applyFont="1" applyBorder="1" applyAlignment="1">
      <alignment horizontal="center" wrapText="1"/>
    </xf>
    <xf numFmtId="0" fontId="12" fillId="0" borderId="1" xfId="0" applyFont="1" applyBorder="1" applyAlignment="1">
      <alignment horizontal="center" wrapText="1"/>
    </xf>
    <xf numFmtId="0" fontId="12" fillId="0" borderId="0" xfId="0" applyFont="1" applyBorder="1" applyAlignment="1">
      <alignment horizontal="center" wrapText="1"/>
    </xf>
    <xf numFmtId="0" fontId="12" fillId="0" borderId="12" xfId="0" applyFont="1" applyBorder="1" applyAlignment="1">
      <alignment wrapText="1"/>
    </xf>
    <xf numFmtId="0" fontId="14" fillId="0" borderId="3" xfId="0" applyFont="1" applyBorder="1" applyAlignment="1">
      <alignment textRotation="90" wrapText="1"/>
    </xf>
    <xf numFmtId="0" fontId="12" fillId="0" borderId="12" xfId="0" applyFont="1" applyBorder="1" applyAlignment="1">
      <alignment horizontal="center" wrapText="1"/>
    </xf>
    <xf numFmtId="164" fontId="0" fillId="0" borderId="0" xfId="0" applyNumberFormat="1"/>
    <xf numFmtId="165" fontId="12" fillId="0" borderId="12" xfId="0" applyNumberFormat="1" applyFont="1" applyBorder="1" applyAlignment="1">
      <alignment wrapText="1"/>
    </xf>
    <xf numFmtId="165" fontId="0" fillId="0" borderId="0" xfId="0" applyNumberFormat="1"/>
    <xf numFmtId="166" fontId="0" fillId="0" borderId="0" xfId="0" applyNumberFormat="1"/>
    <xf numFmtId="166" fontId="0" fillId="0" borderId="0" xfId="0" applyNumberFormat="1" applyAlignment="1"/>
    <xf numFmtId="167" fontId="12" fillId="0" borderId="12" xfId="0" applyNumberFormat="1" applyFont="1" applyBorder="1" applyAlignment="1">
      <alignment horizontal="center" wrapText="1"/>
    </xf>
    <xf numFmtId="0" fontId="0" fillId="0" borderId="13" xfId="0" applyBorder="1"/>
    <xf numFmtId="0" fontId="0" fillId="0" borderId="14" xfId="0" applyBorder="1"/>
    <xf numFmtId="1" fontId="0" fillId="0" borderId="0" xfId="0" applyNumberFormat="1" applyAlignment="1">
      <alignment horizontal="center"/>
    </xf>
    <xf numFmtId="0" fontId="0" fillId="0" borderId="0" xfId="0" applyFill="1" applyBorder="1"/>
    <xf numFmtId="0" fontId="0" fillId="0" borderId="15" xfId="0" applyBorder="1"/>
    <xf numFmtId="0" fontId="0" fillId="0" borderId="16" xfId="0" applyBorder="1"/>
    <xf numFmtId="0" fontId="0" fillId="0" borderId="17" xfId="0" applyBorder="1"/>
    <xf numFmtId="0" fontId="0" fillId="0" borderId="2" xfId="0" applyBorder="1"/>
    <xf numFmtId="0" fontId="2" fillId="0" borderId="6" xfId="0" applyFont="1" applyBorder="1" applyAlignment="1">
      <alignment horizontal="center"/>
    </xf>
    <xf numFmtId="0" fontId="3" fillId="0" borderId="6" xfId="0" applyFont="1" applyBorder="1" applyAlignment="1">
      <alignment horizontal="left" vertical="top" wrapText="1" indent="1"/>
    </xf>
    <xf numFmtId="0" fontId="16" fillId="0" borderId="2" xfId="0" applyFont="1" applyBorder="1"/>
    <xf numFmtId="0" fontId="0" fillId="0" borderId="2" xfId="0" applyBorder="1" applyAlignment="1"/>
    <xf numFmtId="1" fontId="16" fillId="0" borderId="2" xfId="0" applyNumberFormat="1" applyFont="1" applyBorder="1" applyAlignment="1">
      <alignment horizontal="left"/>
    </xf>
    <xf numFmtId="0" fontId="0" fillId="0" borderId="18" xfId="0" applyBorder="1"/>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9" xfId="0" applyFont="1" applyBorder="1" applyAlignment="1">
      <alignment horizontal="center" vertical="top" wrapText="1"/>
    </xf>
    <xf numFmtId="0" fontId="18" fillId="0" borderId="15" xfId="0" applyFont="1" applyBorder="1" applyAlignment="1">
      <alignment vertical="top" wrapText="1"/>
    </xf>
    <xf numFmtId="0" fontId="8" fillId="0" borderId="18" xfId="0" applyFont="1" applyBorder="1" applyAlignment="1">
      <alignment vertical="top" wrapText="1"/>
    </xf>
    <xf numFmtId="0" fontId="8" fillId="0" borderId="13" xfId="0" applyFont="1" applyBorder="1" applyAlignment="1">
      <alignment horizontal="center" vertical="top" wrapText="1"/>
    </xf>
    <xf numFmtId="0" fontId="7" fillId="0" borderId="20" xfId="0" applyFont="1" applyBorder="1" applyAlignment="1">
      <alignment vertical="top" wrapText="1"/>
    </xf>
    <xf numFmtId="0" fontId="15" fillId="0" borderId="21" xfId="0" applyFont="1" applyBorder="1" applyAlignment="1"/>
    <xf numFmtId="0" fontId="8" fillId="0" borderId="6" xfId="0" applyFont="1" applyFill="1" applyBorder="1" applyAlignment="1">
      <alignment vertical="top" wrapText="1"/>
    </xf>
    <xf numFmtId="0" fontId="8" fillId="2" borderId="14" xfId="0" applyFont="1" applyFill="1" applyBorder="1" applyAlignment="1">
      <alignment vertical="top" wrapText="1"/>
    </xf>
    <xf numFmtId="0" fontId="12" fillId="2" borderId="22" xfId="0" applyFont="1" applyFill="1" applyBorder="1" applyAlignment="1">
      <alignment wrapText="1"/>
    </xf>
    <xf numFmtId="0" fontId="12" fillId="2" borderId="23" xfId="0" applyFont="1" applyFill="1" applyBorder="1" applyAlignment="1">
      <alignment wrapText="1"/>
    </xf>
    <xf numFmtId="165" fontId="12" fillId="2" borderId="23" xfId="0" applyNumberFormat="1" applyFont="1" applyFill="1" applyBorder="1" applyAlignment="1">
      <alignment wrapText="1"/>
    </xf>
    <xf numFmtId="0" fontId="12" fillId="2" borderId="23" xfId="0" applyFont="1" applyFill="1" applyBorder="1" applyAlignment="1">
      <alignment horizontal="center" wrapText="1"/>
    </xf>
    <xf numFmtId="1" fontId="12" fillId="2" borderId="23" xfId="0" applyNumberFormat="1" applyFont="1" applyFill="1" applyBorder="1" applyAlignment="1">
      <alignment horizontal="center" wrapText="1"/>
    </xf>
    <xf numFmtId="0" fontId="12" fillId="2" borderId="12" xfId="0" applyFont="1" applyFill="1" applyBorder="1" applyAlignment="1">
      <alignment horizontal="center" wrapText="1"/>
    </xf>
    <xf numFmtId="0" fontId="12" fillId="2" borderId="24" xfId="0" applyFont="1" applyFill="1" applyBorder="1" applyAlignment="1">
      <alignment wrapText="1"/>
    </xf>
    <xf numFmtId="0" fontId="12" fillId="2" borderId="12" xfId="0" applyFont="1" applyFill="1" applyBorder="1" applyAlignment="1">
      <alignment wrapText="1"/>
    </xf>
    <xf numFmtId="165" fontId="12" fillId="2" borderId="12" xfId="0" applyNumberFormat="1" applyFont="1" applyFill="1" applyBorder="1" applyAlignment="1">
      <alignment wrapText="1"/>
    </xf>
    <xf numFmtId="1" fontId="12" fillId="2" borderId="12" xfId="0" applyNumberFormat="1" applyFont="1" applyFill="1" applyBorder="1" applyAlignment="1">
      <alignment horizontal="center" wrapText="1"/>
    </xf>
    <xf numFmtId="0" fontId="12" fillId="2" borderId="25" xfId="0" applyFont="1" applyFill="1" applyBorder="1" applyAlignment="1">
      <alignment wrapText="1"/>
    </xf>
    <xf numFmtId="0" fontId="12" fillId="2" borderId="26" xfId="0" applyFont="1" applyFill="1" applyBorder="1" applyAlignment="1">
      <alignment wrapText="1"/>
    </xf>
    <xf numFmtId="165" fontId="12" fillId="2" borderId="26" xfId="0" applyNumberFormat="1" applyFont="1" applyFill="1" applyBorder="1" applyAlignment="1">
      <alignment wrapText="1"/>
    </xf>
    <xf numFmtId="0" fontId="12" fillId="2" borderId="26" xfId="0" applyFont="1" applyFill="1" applyBorder="1" applyAlignment="1">
      <alignment horizontal="center" wrapText="1"/>
    </xf>
    <xf numFmtId="1" fontId="12" fillId="2" borderId="26" xfId="0" applyNumberFormat="1" applyFont="1" applyFill="1" applyBorder="1" applyAlignment="1">
      <alignment horizontal="center" wrapText="1"/>
    </xf>
    <xf numFmtId="0" fontId="15" fillId="3" borderId="27" xfId="0" applyFont="1" applyFill="1" applyBorder="1" applyAlignment="1"/>
    <xf numFmtId="0" fontId="22" fillId="3" borderId="19" xfId="0" applyFont="1" applyFill="1" applyBorder="1" applyAlignment="1">
      <alignment horizontal="center" vertical="top" wrapText="1"/>
    </xf>
    <xf numFmtId="167" fontId="17" fillId="3" borderId="28" xfId="0" applyNumberFormat="1" applyFont="1" applyFill="1" applyBorder="1" applyAlignment="1">
      <alignment horizontal="center" vertical="top" wrapText="1"/>
    </xf>
    <xf numFmtId="167" fontId="6" fillId="3" borderId="29" xfId="0" applyNumberFormat="1" applyFont="1" applyFill="1" applyBorder="1" applyAlignment="1">
      <alignment horizontal="center" vertical="top" wrapText="1"/>
    </xf>
    <xf numFmtId="0" fontId="17" fillId="3" borderId="19" xfId="0" applyFont="1" applyFill="1" applyBorder="1" applyAlignment="1">
      <alignment horizontal="center" vertical="top" wrapText="1"/>
    </xf>
    <xf numFmtId="0" fontId="23" fillId="0" borderId="0" xfId="0" applyFont="1" applyAlignment="1">
      <alignment horizontal="right"/>
    </xf>
    <xf numFmtId="0" fontId="24" fillId="0" borderId="0" xfId="0" applyFont="1"/>
    <xf numFmtId="0" fontId="4" fillId="0" borderId="0" xfId="0" applyFont="1" applyAlignment="1">
      <alignment horizontal="left" vertical="top" wrapText="1" indent="1"/>
    </xf>
    <xf numFmtId="0" fontId="3" fillId="0" borderId="0" xfId="0" applyFont="1" applyAlignment="1">
      <alignment horizontal="left" vertical="top" wrapText="1" indent="1"/>
    </xf>
    <xf numFmtId="0" fontId="1" fillId="0" borderId="0" xfId="0" applyFont="1" applyAlignment="1">
      <alignment horizontal="center"/>
    </xf>
    <xf numFmtId="0" fontId="4" fillId="0" borderId="0" xfId="0" applyFont="1" applyAlignment="1">
      <alignment horizontal="center"/>
    </xf>
    <xf numFmtId="0" fontId="25" fillId="0" borderId="0" xfId="0" applyFont="1" applyAlignment="1">
      <alignment horizontal="center"/>
    </xf>
    <xf numFmtId="0" fontId="27" fillId="0" borderId="0" xfId="0" applyFont="1"/>
    <xf numFmtId="0" fontId="27" fillId="0" borderId="0" xfId="0" applyFont="1" applyAlignment="1">
      <alignment horizontal="center"/>
    </xf>
    <xf numFmtId="0" fontId="12" fillId="0" borderId="0" xfId="0" applyFont="1" applyFill="1" applyBorder="1" applyAlignment="1">
      <alignment wrapText="1"/>
    </xf>
    <xf numFmtId="165" fontId="12" fillId="0" borderId="0" xfId="0" applyNumberFormat="1" applyFont="1" applyFill="1" applyBorder="1" applyAlignment="1">
      <alignment wrapText="1"/>
    </xf>
    <xf numFmtId="0" fontId="12" fillId="0" borderId="0" xfId="0" applyFont="1" applyFill="1" applyBorder="1" applyAlignment="1">
      <alignment horizontal="center" wrapText="1"/>
    </xf>
    <xf numFmtId="1" fontId="12" fillId="0" borderId="0" xfId="0" applyNumberFormat="1" applyFont="1" applyFill="1" applyBorder="1" applyAlignment="1">
      <alignment horizontal="center" wrapText="1"/>
    </xf>
    <xf numFmtId="0" fontId="28" fillId="0" borderId="0" xfId="0" applyFont="1"/>
    <xf numFmtId="0" fontId="29" fillId="0" borderId="0" xfId="0" applyFont="1"/>
    <xf numFmtId="0" fontId="30" fillId="2" borderId="0" xfId="0" applyFont="1" applyFill="1" applyBorder="1" applyAlignment="1">
      <alignment vertical="top" wrapText="1"/>
    </xf>
    <xf numFmtId="0" fontId="30" fillId="3" borderId="0" xfId="0" applyFont="1" applyFill="1" applyBorder="1" applyAlignment="1">
      <alignment horizontal="left" vertical="top" wrapText="1"/>
    </xf>
    <xf numFmtId="0" fontId="29" fillId="0" borderId="0" xfId="0" applyFont="1" applyBorder="1"/>
    <xf numFmtId="0" fontId="30" fillId="4" borderId="0" xfId="0" applyFont="1" applyFill="1" applyBorder="1" applyAlignment="1">
      <alignment vertical="top" wrapText="1"/>
    </xf>
    <xf numFmtId="0" fontId="31" fillId="0" borderId="0" xfId="0" applyFont="1"/>
    <xf numFmtId="0" fontId="28" fillId="0" borderId="0" xfId="0" applyFont="1" applyAlignment="1">
      <alignment horizontal="center"/>
    </xf>
    <xf numFmtId="164" fontId="0" fillId="0" borderId="0" xfId="0" applyNumberFormat="1" applyAlignment="1">
      <alignment horizontal="center"/>
    </xf>
    <xf numFmtId="0" fontId="14" fillId="0" borderId="3" xfId="0" applyFont="1" applyBorder="1" applyAlignment="1">
      <alignment horizontal="center" textRotation="90" wrapText="1"/>
    </xf>
    <xf numFmtId="0" fontId="10" fillId="0" borderId="3" xfId="0" applyFont="1" applyBorder="1" applyAlignment="1">
      <alignment horizontal="center" textRotation="90" wrapText="1"/>
    </xf>
    <xf numFmtId="0" fontId="0" fillId="0" borderId="28" xfId="0" applyBorder="1" applyAlignment="1">
      <alignment horizontal="center"/>
    </xf>
    <xf numFmtId="0" fontId="0" fillId="0" borderId="30" xfId="0" applyBorder="1" applyAlignment="1">
      <alignment horizontal="center"/>
    </xf>
    <xf numFmtId="0" fontId="12" fillId="2" borderId="31" xfId="0" applyFont="1" applyFill="1" applyBorder="1" applyAlignment="1">
      <alignment horizontal="center" wrapText="1"/>
    </xf>
    <xf numFmtId="0" fontId="12" fillId="2" borderId="21" xfId="0" applyFont="1" applyFill="1" applyBorder="1" applyAlignment="1">
      <alignment horizontal="center" wrapText="1"/>
    </xf>
    <xf numFmtId="0" fontId="12" fillId="2" borderId="32" xfId="0" applyFont="1" applyFill="1" applyBorder="1" applyAlignment="1">
      <alignment horizontal="center" wrapText="1"/>
    </xf>
    <xf numFmtId="0" fontId="12" fillId="2" borderId="33" xfId="0" applyFont="1" applyFill="1" applyBorder="1" applyAlignment="1">
      <alignment horizontal="center" wrapText="1"/>
    </xf>
    <xf numFmtId="0" fontId="12" fillId="2" borderId="34" xfId="0" applyFont="1" applyFill="1" applyBorder="1" applyAlignment="1">
      <alignment horizontal="center" wrapText="1"/>
    </xf>
    <xf numFmtId="0" fontId="0" fillId="0" borderId="0" xfId="0" applyAlignment="1">
      <alignment horizontal="center" wrapText="1"/>
    </xf>
    <xf numFmtId="0" fontId="12" fillId="2" borderId="35" xfId="0" applyFont="1" applyFill="1" applyBorder="1" applyAlignment="1">
      <alignment horizontal="center" wrapText="1"/>
    </xf>
    <xf numFmtId="0" fontId="12" fillId="2" borderId="36" xfId="0" applyFont="1" applyFill="1" applyBorder="1" applyAlignment="1">
      <alignment horizontal="center" wrapText="1"/>
    </xf>
    <xf numFmtId="0" fontId="12" fillId="2" borderId="37" xfId="0" applyFont="1" applyFill="1" applyBorder="1" applyAlignment="1">
      <alignment horizontal="center" wrapText="1"/>
    </xf>
    <xf numFmtId="166" fontId="0" fillId="3" borderId="15" xfId="0" applyNumberFormat="1" applyFill="1" applyBorder="1"/>
    <xf numFmtId="166" fontId="0" fillId="3" borderId="13" xfId="0" applyNumberFormat="1" applyFill="1" applyBorder="1"/>
    <xf numFmtId="0" fontId="0" fillId="0" borderId="38" xfId="0" applyBorder="1" applyAlignment="1">
      <alignment horizontal="center"/>
    </xf>
    <xf numFmtId="0" fontId="32" fillId="4" borderId="28" xfId="0" applyFont="1" applyFill="1" applyBorder="1" applyAlignment="1">
      <alignment horizontal="center"/>
    </xf>
    <xf numFmtId="0" fontId="0" fillId="3" borderId="30" xfId="0" applyFill="1" applyBorder="1" applyAlignment="1">
      <alignment horizontal="center"/>
    </xf>
    <xf numFmtId="0" fontId="0" fillId="3" borderId="0" xfId="0" applyFill="1"/>
    <xf numFmtId="0" fontId="0" fillId="0" borderId="0" xfId="0" applyAlignment="1">
      <alignment horizontal="right"/>
    </xf>
    <xf numFmtId="0" fontId="17" fillId="3" borderId="33" xfId="0" applyFont="1" applyFill="1" applyBorder="1" applyAlignment="1">
      <alignment horizontal="left" vertical="top" wrapText="1"/>
    </xf>
    <xf numFmtId="0" fontId="33" fillId="0" borderId="0" xfId="0" applyFont="1" applyFill="1" applyBorder="1" applyAlignment="1">
      <alignment horizontal="center" wrapText="1"/>
    </xf>
    <xf numFmtId="0" fontId="8" fillId="0" borderId="20" xfId="0" applyFont="1" applyBorder="1" applyAlignment="1">
      <alignment horizontal="right" vertical="top" wrapText="1"/>
    </xf>
    <xf numFmtId="0" fontId="8" fillId="2" borderId="39" xfId="0" applyFont="1" applyFill="1" applyBorder="1" applyAlignment="1">
      <alignment vertical="top" wrapText="1"/>
    </xf>
    <xf numFmtId="0" fontId="8" fillId="0" borderId="21" xfId="0" applyFont="1" applyFill="1" applyBorder="1" applyAlignment="1">
      <alignment horizontal="right" vertical="top" wrapText="1"/>
    </xf>
    <xf numFmtId="0" fontId="7" fillId="0" borderId="6" xfId="0" applyFont="1" applyBorder="1" applyAlignment="1">
      <alignment vertical="top" wrapText="1"/>
    </xf>
    <xf numFmtId="0" fontId="8" fillId="0" borderId="20" xfId="0" applyFont="1" applyFill="1" applyBorder="1" applyAlignment="1">
      <alignment horizontal="right" vertical="top" wrapText="1"/>
    </xf>
    <xf numFmtId="0" fontId="8" fillId="0" borderId="40" xfId="0" applyFont="1" applyBorder="1" applyAlignment="1">
      <alignment horizontal="right" vertical="top" wrapText="1"/>
    </xf>
    <xf numFmtId="0" fontId="8" fillId="0" borderId="41" xfId="0" applyFont="1" applyBorder="1" applyAlignment="1">
      <alignment horizontal="right" vertical="top" wrapText="1"/>
    </xf>
    <xf numFmtId="0" fontId="8" fillId="0" borderId="13" xfId="0" applyFont="1" applyBorder="1" applyAlignment="1">
      <alignment horizontal="right" vertical="top" wrapText="1"/>
    </xf>
    <xf numFmtId="0" fontId="34" fillId="0" borderId="0" xfId="0" applyFont="1"/>
    <xf numFmtId="0" fontId="34" fillId="0" borderId="0" xfId="0" applyFont="1" applyAlignment="1">
      <alignment horizontal="center"/>
    </xf>
    <xf numFmtId="0" fontId="0" fillId="0" borderId="0" xfId="0" applyBorder="1" applyAlignment="1">
      <alignment horizontal="center"/>
    </xf>
    <xf numFmtId="0" fontId="0" fillId="0" borderId="14" xfId="0" applyBorder="1" applyAlignment="1">
      <alignment horizontal="center"/>
    </xf>
    <xf numFmtId="0" fontId="35" fillId="0" borderId="12" xfId="2" applyFont="1" applyFill="1" applyBorder="1" applyAlignment="1">
      <alignment horizontal="center" textRotation="90" wrapText="1"/>
    </xf>
    <xf numFmtId="0" fontId="35" fillId="6" borderId="12" xfId="2" applyFont="1" applyFill="1" applyBorder="1" applyAlignment="1">
      <alignment horizontal="center"/>
    </xf>
    <xf numFmtId="0" fontId="15" fillId="0" borderId="0" xfId="0" applyFont="1"/>
    <xf numFmtId="0" fontId="12" fillId="2" borderId="0" xfId="0" applyFont="1" applyFill="1" applyBorder="1" applyAlignment="1">
      <alignment wrapText="1"/>
    </xf>
    <xf numFmtId="0" fontId="12" fillId="2" borderId="15" xfId="0" applyFont="1" applyFill="1" applyBorder="1" applyAlignment="1">
      <alignment wrapText="1"/>
    </xf>
    <xf numFmtId="0" fontId="12" fillId="2" borderId="16" xfId="0" applyFont="1" applyFill="1" applyBorder="1" applyAlignment="1">
      <alignment wrapText="1"/>
    </xf>
    <xf numFmtId="0" fontId="12" fillId="2" borderId="6" xfId="0" applyFont="1" applyFill="1" applyBorder="1" applyAlignment="1">
      <alignment wrapText="1"/>
    </xf>
    <xf numFmtId="0" fontId="12" fillId="2" borderId="13" xfId="0" applyFont="1" applyFill="1" applyBorder="1" applyAlignment="1">
      <alignment wrapText="1"/>
    </xf>
    <xf numFmtId="0" fontId="12" fillId="2" borderId="14" xfId="0" applyFont="1" applyFill="1" applyBorder="1" applyAlignment="1">
      <alignment wrapText="1"/>
    </xf>
    <xf numFmtId="0" fontId="0" fillId="0" borderId="16" xfId="0" applyBorder="1" applyAlignment="1">
      <alignment horizontal="center"/>
    </xf>
    <xf numFmtId="0" fontId="27" fillId="0" borderId="0" xfId="0" applyFont="1" applyBorder="1"/>
    <xf numFmtId="0" fontId="37" fillId="0" borderId="0" xfId="0" applyFont="1" applyBorder="1" applyAlignment="1">
      <alignment horizontal="center" wrapText="1"/>
    </xf>
    <xf numFmtId="0" fontId="0" fillId="0" borderId="0" xfId="0" applyFill="1" applyBorder="1" applyAlignment="1">
      <alignment horizontal="center"/>
    </xf>
    <xf numFmtId="0" fontId="0" fillId="8" borderId="16" xfId="0" applyFill="1" applyBorder="1" applyAlignment="1">
      <alignment horizontal="left"/>
    </xf>
    <xf numFmtId="0" fontId="27" fillId="8" borderId="0" xfId="0" applyFont="1" applyFill="1"/>
    <xf numFmtId="0" fontId="0" fillId="8" borderId="0" xfId="0" applyFill="1" applyBorder="1"/>
    <xf numFmtId="0" fontId="0" fillId="8" borderId="0" xfId="0" applyFill="1" applyBorder="1" applyAlignment="1">
      <alignment horizontal="left"/>
    </xf>
    <xf numFmtId="0" fontId="27" fillId="8" borderId="16" xfId="0" applyFont="1" applyFill="1" applyBorder="1"/>
    <xf numFmtId="0" fontId="37" fillId="8" borderId="0" xfId="0" applyFont="1" applyFill="1" applyBorder="1" applyAlignment="1">
      <alignment horizontal="center" wrapText="1"/>
    </xf>
    <xf numFmtId="0" fontId="0" fillId="8" borderId="0" xfId="0" applyFill="1"/>
    <xf numFmtId="0" fontId="37" fillId="9" borderId="0" xfId="0" applyFont="1" applyFill="1" applyBorder="1" applyAlignment="1">
      <alignment horizontal="center" wrapText="1"/>
    </xf>
    <xf numFmtId="0" fontId="0" fillId="9" borderId="0" xfId="0" applyFill="1" applyBorder="1"/>
    <xf numFmtId="0" fontId="27" fillId="9" borderId="16" xfId="0" applyFont="1" applyFill="1" applyBorder="1"/>
    <xf numFmtId="0" fontId="0" fillId="0" borderId="14" xfId="0" applyFill="1" applyBorder="1" applyAlignment="1">
      <alignment horizontal="center"/>
    </xf>
    <xf numFmtId="0" fontId="0" fillId="8" borderId="14" xfId="0" applyFill="1" applyBorder="1"/>
    <xf numFmtId="0" fontId="0" fillId="8" borderId="14" xfId="0" applyFill="1" applyBorder="1" applyAlignment="1">
      <alignment horizontal="center"/>
    </xf>
    <xf numFmtId="0" fontId="0" fillId="9" borderId="14" xfId="0" applyFill="1" applyBorder="1"/>
    <xf numFmtId="0" fontId="0" fillId="9" borderId="14" xfId="0" applyFill="1" applyBorder="1" applyAlignment="1">
      <alignment horizontal="center"/>
    </xf>
    <xf numFmtId="0" fontId="10" fillId="0" borderId="8" xfId="0" applyFont="1" applyBorder="1" applyAlignment="1">
      <alignment horizontal="center" wrapText="1"/>
    </xf>
    <xf numFmtId="0" fontId="10" fillId="0" borderId="3"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42" xfId="0" applyFont="1" applyBorder="1" applyAlignment="1">
      <alignment horizontal="center" wrapText="1"/>
    </xf>
    <xf numFmtId="0" fontId="10" fillId="0" borderId="1" xfId="0" applyFont="1" applyBorder="1" applyAlignment="1">
      <alignment textRotation="90" wrapText="1"/>
    </xf>
    <xf numFmtId="0" fontId="37" fillId="10" borderId="0" xfId="0" applyFont="1" applyFill="1" applyBorder="1" applyAlignment="1">
      <alignment horizontal="center" wrapText="1"/>
    </xf>
    <xf numFmtId="0" fontId="0" fillId="10" borderId="0" xfId="0" applyFill="1" applyBorder="1"/>
    <xf numFmtId="0" fontId="0" fillId="10" borderId="14" xfId="0" applyFill="1" applyBorder="1"/>
    <xf numFmtId="0" fontId="0" fillId="10" borderId="14" xfId="0" applyFill="1" applyBorder="1" applyAlignment="1">
      <alignment horizontal="center"/>
    </xf>
    <xf numFmtId="0" fontId="12" fillId="0" borderId="6" xfId="0" applyFont="1" applyFill="1" applyBorder="1" applyAlignment="1"/>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7" fillId="0" borderId="50" xfId="0" applyFont="1" applyBorder="1" applyAlignment="1">
      <alignment horizontal="center"/>
    </xf>
    <xf numFmtId="0" fontId="27" fillId="0" borderId="51" xfId="0" applyFont="1" applyBorder="1" applyAlignment="1">
      <alignment horizontal="center"/>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27" fillId="0" borderId="0" xfId="0" applyFont="1" applyAlignment="1">
      <alignment horizontal="right"/>
    </xf>
    <xf numFmtId="0" fontId="0" fillId="11" borderId="0" xfId="0" applyFill="1"/>
    <xf numFmtId="0" fontId="0" fillId="11" borderId="0" xfId="0" applyFill="1" applyBorder="1"/>
    <xf numFmtId="0" fontId="0" fillId="12" borderId="0" xfId="0" applyFill="1"/>
    <xf numFmtId="0" fontId="0" fillId="12" borderId="0" xfId="0" applyFill="1" applyBorder="1"/>
    <xf numFmtId="0" fontId="0" fillId="12" borderId="0" xfId="0" applyFill="1" applyBorder="1" applyAlignment="1">
      <alignment horizontal="center"/>
    </xf>
    <xf numFmtId="167" fontId="0" fillId="0" borderId="0" xfId="0" applyNumberFormat="1" applyBorder="1"/>
    <xf numFmtId="167" fontId="28" fillId="0" borderId="0" xfId="0" applyNumberFormat="1" applyFont="1"/>
    <xf numFmtId="167" fontId="37" fillId="0" borderId="0" xfId="0" applyNumberFormat="1" applyFont="1" applyAlignment="1">
      <alignment horizontal="center"/>
    </xf>
    <xf numFmtId="0" fontId="27" fillId="13" borderId="0" xfId="0" applyFont="1" applyFill="1" applyAlignment="1">
      <alignment horizontal="center"/>
    </xf>
    <xf numFmtId="0" fontId="0" fillId="13" borderId="0" xfId="0" applyFill="1" applyAlignment="1">
      <alignment horizontal="center"/>
    </xf>
    <xf numFmtId="0" fontId="27" fillId="13" borderId="0" xfId="0" applyFont="1" applyFill="1"/>
    <xf numFmtId="0" fontId="0" fillId="13" borderId="50" xfId="0" applyFill="1" applyBorder="1" applyAlignment="1">
      <alignment horizontal="center"/>
    </xf>
    <xf numFmtId="0" fontId="0" fillId="13" borderId="51" xfId="0" applyFill="1" applyBorder="1" applyAlignment="1">
      <alignment horizontal="center"/>
    </xf>
    <xf numFmtId="0" fontId="0" fillId="13" borderId="44" xfId="0" applyFill="1" applyBorder="1" applyAlignment="1">
      <alignment horizontal="center"/>
    </xf>
    <xf numFmtId="0" fontId="0" fillId="12" borderId="29" xfId="0" applyFill="1" applyBorder="1" applyAlignment="1">
      <alignment horizontal="center"/>
    </xf>
    <xf numFmtId="0" fontId="0" fillId="11" borderId="0" xfId="0" applyFill="1" applyAlignment="1">
      <alignment horizontal="center"/>
    </xf>
    <xf numFmtId="0" fontId="0" fillId="11" borderId="29" xfId="0" applyFill="1" applyBorder="1" applyAlignment="1">
      <alignment horizontal="center"/>
    </xf>
    <xf numFmtId="1" fontId="16" fillId="12" borderId="0" xfId="0" applyNumberFormat="1" applyFont="1" applyFill="1"/>
    <xf numFmtId="1" fontId="15" fillId="11" borderId="0" xfId="0" applyNumberFormat="1" applyFont="1" applyFill="1"/>
    <xf numFmtId="0" fontId="0" fillId="14" borderId="0" xfId="0" applyFill="1" applyAlignment="1">
      <alignment horizontal="center"/>
    </xf>
    <xf numFmtId="0" fontId="0" fillId="17" borderId="0" xfId="0" applyFill="1"/>
    <xf numFmtId="14" fontId="0" fillId="0" borderId="0" xfId="0" applyNumberFormat="1"/>
    <xf numFmtId="1" fontId="0" fillId="0" borderId="0" xfId="0" applyNumberFormat="1" applyBorder="1" applyAlignment="1">
      <alignment horizontal="center"/>
    </xf>
    <xf numFmtId="166" fontId="0" fillId="12" borderId="0" xfId="0" applyNumberFormat="1" applyFill="1"/>
    <xf numFmtId="0" fontId="0" fillId="12" borderId="0" xfId="0" applyFill="1" applyAlignment="1"/>
    <xf numFmtId="0" fontId="8" fillId="12" borderId="3" xfId="0" applyFont="1" applyFill="1" applyBorder="1" applyAlignment="1">
      <alignment horizontal="center" wrapText="1"/>
    </xf>
    <xf numFmtId="0" fontId="0" fillId="14" borderId="0" xfId="0" applyFill="1" applyAlignment="1">
      <alignment horizontal="center" wrapText="1"/>
    </xf>
    <xf numFmtId="0" fontId="27" fillId="14" borderId="0" xfId="0" applyFont="1" applyFill="1" applyAlignment="1">
      <alignment horizontal="center"/>
    </xf>
    <xf numFmtId="0" fontId="0" fillId="14" borderId="0" xfId="0" applyFont="1" applyFill="1" applyAlignment="1">
      <alignment horizontal="center"/>
    </xf>
    <xf numFmtId="0" fontId="0" fillId="14" borderId="0" xfId="0" applyFont="1" applyFill="1" applyBorder="1" applyAlignment="1">
      <alignment horizontal="center"/>
    </xf>
    <xf numFmtId="0" fontId="8" fillId="0" borderId="52" xfId="0" applyFont="1" applyFill="1" applyBorder="1" applyAlignment="1">
      <alignment horizontal="center" wrapText="1"/>
    </xf>
    <xf numFmtId="166" fontId="27" fillId="0" borderId="52" xfId="0" applyNumberFormat="1" applyFont="1" applyBorder="1"/>
    <xf numFmtId="0" fontId="0" fillId="12" borderId="52" xfId="0" applyFill="1" applyBorder="1"/>
    <xf numFmtId="0" fontId="8" fillId="12" borderId="53" xfId="0" applyFont="1" applyFill="1" applyBorder="1" applyAlignment="1">
      <alignment horizontal="center" wrapText="1"/>
    </xf>
    <xf numFmtId="0" fontId="8" fillId="0" borderId="52" xfId="0" applyFont="1" applyBorder="1" applyAlignment="1">
      <alignment horizontal="center" wrapText="1"/>
    </xf>
    <xf numFmtId="0" fontId="0" fillId="0" borderId="52" xfId="0" applyBorder="1"/>
    <xf numFmtId="0" fontId="27" fillId="0" borderId="52" xfId="0" applyFont="1" applyBorder="1"/>
    <xf numFmtId="0" fontId="15" fillId="0" borderId="50" xfId="0" applyFont="1" applyBorder="1"/>
    <xf numFmtId="0" fontId="0" fillId="0" borderId="51" xfId="0" applyBorder="1"/>
    <xf numFmtId="0" fontId="0" fillId="0" borderId="44" xfId="0" applyBorder="1"/>
    <xf numFmtId="0" fontId="27" fillId="0" borderId="45" xfId="0" applyFont="1" applyBorder="1" applyAlignment="1">
      <alignment horizontal="center"/>
    </xf>
    <xf numFmtId="0" fontId="0" fillId="12" borderId="46" xfId="0" applyFill="1" applyBorder="1"/>
    <xf numFmtId="0" fontId="0" fillId="0" borderId="54" xfId="0" applyFill="1" applyBorder="1" applyAlignment="1">
      <alignment horizontal="center"/>
    </xf>
    <xf numFmtId="0" fontId="0" fillId="12" borderId="49" xfId="0" applyFill="1" applyBorder="1"/>
    <xf numFmtId="0" fontId="0" fillId="11" borderId="0" xfId="0" applyFill="1" applyBorder="1" applyAlignment="1">
      <alignment horizontal="center"/>
    </xf>
    <xf numFmtId="0" fontId="0" fillId="11" borderId="46" xfId="0" applyFill="1" applyBorder="1"/>
    <xf numFmtId="0" fontId="0" fillId="11" borderId="54" xfId="0" applyFill="1" applyBorder="1" applyAlignment="1">
      <alignment horizontal="center"/>
    </xf>
    <xf numFmtId="0" fontId="0" fillId="11" borderId="49" xfId="0" applyFill="1" applyBorder="1"/>
    <xf numFmtId="1" fontId="37" fillId="0" borderId="0" xfId="0" applyNumberFormat="1" applyFont="1" applyAlignment="1">
      <alignment horizontal="center"/>
    </xf>
    <xf numFmtId="1" fontId="28" fillId="0" borderId="0" xfId="0" applyNumberFormat="1" applyFont="1"/>
    <xf numFmtId="0" fontId="12" fillId="0" borderId="22" xfId="0" applyFont="1" applyBorder="1" applyAlignment="1">
      <alignment wrapText="1"/>
    </xf>
    <xf numFmtId="0" fontId="12" fillId="0" borderId="23" xfId="0" applyFont="1" applyBorder="1" applyAlignment="1">
      <alignment wrapText="1"/>
    </xf>
    <xf numFmtId="0" fontId="12" fillId="0" borderId="23" xfId="0" applyFont="1" applyBorder="1" applyAlignment="1">
      <alignment horizontal="center" wrapText="1"/>
    </xf>
    <xf numFmtId="167" fontId="12" fillId="0" borderId="23" xfId="0" applyNumberFormat="1" applyFont="1" applyBorder="1" applyAlignment="1">
      <alignment horizontal="center" wrapText="1"/>
    </xf>
    <xf numFmtId="167" fontId="12" fillId="0" borderId="35" xfId="0" applyNumberFormat="1" applyFont="1" applyBorder="1" applyAlignment="1">
      <alignment horizontal="center" wrapText="1"/>
    </xf>
    <xf numFmtId="0" fontId="12" fillId="0" borderId="24" xfId="0" applyFont="1" applyBorder="1" applyAlignment="1">
      <alignment wrapText="1"/>
    </xf>
    <xf numFmtId="167" fontId="12" fillId="0" borderId="36" xfId="0" applyNumberFormat="1" applyFont="1" applyBorder="1" applyAlignment="1">
      <alignment horizontal="center" wrapText="1"/>
    </xf>
    <xf numFmtId="0" fontId="12" fillId="0" borderId="25" xfId="0" applyFont="1" applyBorder="1" applyAlignment="1">
      <alignment wrapText="1"/>
    </xf>
    <xf numFmtId="0" fontId="12" fillId="0" borderId="26" xfId="0" applyFont="1" applyBorder="1" applyAlignment="1">
      <alignment wrapText="1"/>
    </xf>
    <xf numFmtId="165" fontId="12" fillId="0" borderId="26" xfId="0" applyNumberFormat="1" applyFont="1" applyBorder="1" applyAlignment="1">
      <alignment wrapText="1"/>
    </xf>
    <xf numFmtId="0" fontId="12" fillId="0" borderId="26" xfId="0" applyFont="1" applyBorder="1" applyAlignment="1">
      <alignment horizontal="center" wrapText="1"/>
    </xf>
    <xf numFmtId="167" fontId="12" fillId="0" borderId="26" xfId="0" applyNumberFormat="1" applyFont="1" applyBorder="1" applyAlignment="1">
      <alignment horizontal="center" wrapText="1"/>
    </xf>
    <xf numFmtId="167" fontId="12" fillId="0" borderId="37" xfId="0" applyNumberFormat="1" applyFont="1" applyBorder="1" applyAlignment="1">
      <alignment horizontal="center" wrapText="1"/>
    </xf>
    <xf numFmtId="0" fontId="0" fillId="0" borderId="38" xfId="0" applyBorder="1"/>
    <xf numFmtId="0" fontId="0" fillId="0" borderId="28" xfId="0" applyBorder="1"/>
    <xf numFmtId="167" fontId="0" fillId="0" borderId="28" xfId="0" applyNumberFormat="1" applyBorder="1"/>
    <xf numFmtId="0" fontId="8" fillId="4" borderId="20" xfId="0" applyFont="1" applyFill="1" applyBorder="1" applyAlignment="1">
      <alignment vertical="top" wrapText="1"/>
    </xf>
    <xf numFmtId="0" fontId="7" fillId="0" borderId="15" xfId="0" applyFont="1" applyBorder="1" applyAlignment="1">
      <alignment vertical="top" wrapText="1"/>
    </xf>
    <xf numFmtId="0" fontId="45" fillId="0" borderId="0" xfId="0" applyFont="1"/>
    <xf numFmtId="0" fontId="45" fillId="0" borderId="0" xfId="0" applyFont="1" applyAlignment="1"/>
    <xf numFmtId="1" fontId="45" fillId="0" borderId="0" xfId="0" applyNumberFormat="1" applyFont="1"/>
    <xf numFmtId="0" fontId="46" fillId="0" borderId="0" xfId="0" applyFont="1"/>
    <xf numFmtId="165" fontId="45" fillId="0" borderId="0" xfId="0" applyNumberFormat="1" applyFont="1" applyAlignment="1">
      <alignment horizontal="center"/>
    </xf>
    <xf numFmtId="0" fontId="45" fillId="0" borderId="15" xfId="0" applyFont="1" applyBorder="1"/>
    <xf numFmtId="0" fontId="46" fillId="0" borderId="6" xfId="0" applyFont="1" applyBorder="1"/>
    <xf numFmtId="0" fontId="45" fillId="0" borderId="6" xfId="0" applyFont="1" applyBorder="1"/>
    <xf numFmtId="0" fontId="45" fillId="0" borderId="13" xfId="0" applyFont="1" applyBorder="1"/>
    <xf numFmtId="0" fontId="0" fillId="0" borderId="0" xfId="0" applyAlignment="1">
      <alignment vertical="center" wrapText="1"/>
    </xf>
    <xf numFmtId="0" fontId="15" fillId="0" borderId="0" xfId="0" applyFont="1" applyAlignment="1">
      <alignment vertical="center"/>
    </xf>
    <xf numFmtId="0" fontId="26" fillId="0" borderId="52" xfId="0" applyFont="1" applyBorder="1"/>
    <xf numFmtId="167" fontId="12" fillId="13" borderId="4" xfId="0" applyNumberFormat="1" applyFont="1" applyFill="1" applyBorder="1" applyAlignment="1">
      <alignment horizontal="center" wrapText="1"/>
    </xf>
    <xf numFmtId="167" fontId="12" fillId="13" borderId="2" xfId="0" applyNumberFormat="1" applyFont="1" applyFill="1" applyBorder="1" applyAlignment="1">
      <alignment horizontal="center" wrapText="1"/>
    </xf>
    <xf numFmtId="0" fontId="26" fillId="0" borderId="0" xfId="0" applyFont="1"/>
    <xf numFmtId="0" fontId="12" fillId="2" borderId="57" xfId="0" applyFont="1" applyFill="1" applyBorder="1" applyAlignment="1">
      <alignment horizontal="center" wrapText="1"/>
    </xf>
    <xf numFmtId="8" fontId="12" fillId="0" borderId="2" xfId="0" applyNumberFormat="1" applyFont="1" applyBorder="1" applyAlignment="1">
      <alignment horizontal="center" wrapText="1"/>
    </xf>
    <xf numFmtId="0" fontId="8" fillId="0" borderId="28" xfId="0" applyFont="1" applyBorder="1" applyAlignment="1">
      <alignment vertical="top" wrapText="1"/>
    </xf>
    <xf numFmtId="0" fontId="26" fillId="0" borderId="52" xfId="0" applyFont="1" applyBorder="1" applyAlignment="1">
      <alignment horizontal="center"/>
    </xf>
    <xf numFmtId="165" fontId="12" fillId="0" borderId="58" xfId="0" applyNumberFormat="1" applyFont="1" applyBorder="1" applyAlignment="1">
      <alignment wrapText="1"/>
    </xf>
    <xf numFmtId="165" fontId="12" fillId="0" borderId="33" xfId="0" applyNumberFormat="1" applyFont="1" applyBorder="1" applyAlignment="1">
      <alignment wrapText="1"/>
    </xf>
    <xf numFmtId="1" fontId="0" fillId="3" borderId="0" xfId="0" applyNumberFormat="1" applyFill="1" applyBorder="1" applyAlignment="1">
      <alignment horizontal="center"/>
    </xf>
    <xf numFmtId="0" fontId="0" fillId="16" borderId="0" xfId="0" applyFill="1" applyAlignment="1">
      <alignment horizontal="center"/>
    </xf>
    <xf numFmtId="0" fontId="15" fillId="0" borderId="0" xfId="0" applyFont="1" applyAlignment="1">
      <alignment horizontal="center" vertical="center"/>
    </xf>
    <xf numFmtId="0" fontId="0" fillId="0" borderId="0" xfId="0" applyAlignment="1">
      <alignment horizontal="center" vertical="center"/>
    </xf>
    <xf numFmtId="0" fontId="0" fillId="0" borderId="19" xfId="0" applyFill="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12" borderId="44" xfId="0" applyFill="1" applyBorder="1" applyAlignment="1">
      <alignment horizontal="center"/>
    </xf>
    <xf numFmtId="0" fontId="0" fillId="12" borderId="46" xfId="0" applyFill="1" applyBorder="1" applyAlignment="1">
      <alignment horizontal="center"/>
    </xf>
    <xf numFmtId="0" fontId="0" fillId="12" borderId="49" xfId="0" applyFill="1" applyBorder="1" applyAlignment="1">
      <alignment horizontal="center"/>
    </xf>
    <xf numFmtId="0" fontId="26" fillId="0" borderId="0" xfId="0" quotePrefix="1" applyFont="1"/>
    <xf numFmtId="0" fontId="0" fillId="18" borderId="50" xfId="0" applyFill="1" applyBorder="1" applyAlignment="1">
      <alignment horizontal="center"/>
    </xf>
    <xf numFmtId="0" fontId="0" fillId="18" borderId="51" xfId="0" applyFill="1" applyBorder="1" applyAlignment="1">
      <alignment horizontal="center"/>
    </xf>
    <xf numFmtId="0" fontId="0" fillId="18" borderId="44" xfId="0" applyFill="1" applyBorder="1" applyAlignment="1">
      <alignment horizontal="center"/>
    </xf>
    <xf numFmtId="0" fontId="0" fillId="18" borderId="0" xfId="0" applyFont="1" applyFill="1" applyBorder="1" applyAlignment="1">
      <alignment horizontal="center"/>
    </xf>
    <xf numFmtId="0" fontId="27" fillId="18" borderId="0" xfId="0" applyFont="1" applyFill="1"/>
    <xf numFmtId="0" fontId="27" fillId="18" borderId="50" xfId="0" applyFont="1" applyFill="1" applyBorder="1" applyAlignment="1">
      <alignment horizontal="left"/>
    </xf>
    <xf numFmtId="0" fontId="27" fillId="18" borderId="51" xfId="0" applyFont="1" applyFill="1" applyBorder="1" applyAlignment="1">
      <alignment horizontal="left"/>
    </xf>
    <xf numFmtId="0" fontId="0" fillId="18" borderId="44" xfId="0" applyFill="1" applyBorder="1" applyAlignment="1">
      <alignment horizontal="left"/>
    </xf>
    <xf numFmtId="0" fontId="27" fillId="18" borderId="0" xfId="0" applyFont="1" applyFill="1" applyBorder="1" applyAlignment="1">
      <alignment horizontal="left"/>
    </xf>
    <xf numFmtId="0" fontId="26" fillId="19" borderId="0" xfId="0" applyFont="1" applyFill="1"/>
    <xf numFmtId="0" fontId="0" fillId="19" borderId="0" xfId="0" applyFill="1"/>
    <xf numFmtId="0" fontId="47" fillId="0" borderId="6" xfId="0" applyFont="1" applyBorder="1" applyAlignment="1">
      <alignment horizontal="center"/>
    </xf>
    <xf numFmtId="0" fontId="18" fillId="0" borderId="16" xfId="0" applyFont="1" applyBorder="1" applyAlignment="1">
      <alignment vertical="top" wrapText="1"/>
    </xf>
    <xf numFmtId="0" fontId="25" fillId="7" borderId="16" xfId="0" applyFont="1" applyFill="1" applyBorder="1" applyAlignment="1">
      <alignment horizontal="left" vertical="top" wrapText="1"/>
    </xf>
    <xf numFmtId="167" fontId="0" fillId="0" borderId="17" xfId="0" applyNumberFormat="1" applyBorder="1"/>
    <xf numFmtId="0" fontId="0" fillId="20" borderId="6" xfId="0" applyFill="1" applyBorder="1"/>
    <xf numFmtId="0" fontId="0" fillId="20" borderId="0" xfId="0" applyFill="1" applyBorder="1" applyAlignment="1">
      <alignment horizontal="center"/>
    </xf>
    <xf numFmtId="0" fontId="0" fillId="20" borderId="0" xfId="0" applyFill="1" applyBorder="1"/>
    <xf numFmtId="167" fontId="0" fillId="0" borderId="2" xfId="0" applyNumberFormat="1" applyBorder="1"/>
    <xf numFmtId="0" fontId="15" fillId="0" borderId="14" xfId="0" applyFont="1" applyBorder="1" applyAlignment="1">
      <alignment horizontal="right"/>
    </xf>
    <xf numFmtId="0" fontId="26" fillId="0" borderId="14" xfId="0" applyFont="1" applyBorder="1" applyAlignment="1">
      <alignment horizontal="right"/>
    </xf>
    <xf numFmtId="0" fontId="39" fillId="0" borderId="59" xfId="2" applyFont="1" applyFill="1" applyBorder="1" applyAlignment="1">
      <alignment horizontal="center" textRotation="90" wrapText="1"/>
    </xf>
    <xf numFmtId="0" fontId="15" fillId="0" borderId="6" xfId="0" applyFont="1" applyBorder="1"/>
    <xf numFmtId="8" fontId="0" fillId="13" borderId="0" xfId="0" applyNumberFormat="1" applyFill="1" applyBorder="1"/>
    <xf numFmtId="0" fontId="0" fillId="0" borderId="0" xfId="0" quotePrefix="1" applyBorder="1" applyAlignment="1">
      <alignment horizontal="center"/>
    </xf>
    <xf numFmtId="0" fontId="15" fillId="0" borderId="13" xfId="0" applyFont="1" applyBorder="1"/>
    <xf numFmtId="1" fontId="0" fillId="0" borderId="14" xfId="0" applyNumberFormat="1" applyBorder="1" applyAlignment="1">
      <alignment horizontal="center"/>
    </xf>
    <xf numFmtId="8" fontId="0" fillId="13" borderId="14" xfId="0" applyNumberFormat="1" applyFill="1" applyBorder="1"/>
    <xf numFmtId="0" fontId="0" fillId="0" borderId="14" xfId="0" quotePrefix="1" applyBorder="1" applyAlignment="1">
      <alignment horizontal="center"/>
    </xf>
    <xf numFmtId="167" fontId="28" fillId="13" borderId="29" xfId="0" applyNumberFormat="1" applyFont="1" applyFill="1" applyBorder="1"/>
    <xf numFmtId="167" fontId="48" fillId="0" borderId="0" xfId="0" applyNumberFormat="1" applyFont="1" applyAlignment="1">
      <alignment horizontal="center"/>
    </xf>
    <xf numFmtId="0" fontId="8" fillId="4" borderId="30" xfId="0" applyFont="1" applyFill="1" applyBorder="1" applyAlignment="1">
      <alignment vertical="top" wrapText="1"/>
    </xf>
    <xf numFmtId="1" fontId="0" fillId="21" borderId="14" xfId="0" applyNumberFormat="1" applyFill="1" applyBorder="1" applyAlignment="1">
      <alignment vertical="top" wrapText="1"/>
    </xf>
    <xf numFmtId="0" fontId="8" fillId="0" borderId="6" xfId="0" applyFont="1" applyBorder="1" applyAlignment="1">
      <alignment horizontal="right" vertical="top" wrapText="1"/>
    </xf>
    <xf numFmtId="0" fontId="34" fillId="0" borderId="0" xfId="0" applyFont="1" applyBorder="1"/>
    <xf numFmtId="0" fontId="34" fillId="0" borderId="0" xfId="0" applyFont="1" applyBorder="1" applyAlignment="1">
      <alignment horizontal="center"/>
    </xf>
    <xf numFmtId="0" fontId="15" fillId="0" borderId="0" xfId="0" applyFont="1" applyBorder="1"/>
    <xf numFmtId="0" fontId="39" fillId="0" borderId="27" xfId="2" applyFont="1" applyFill="1" applyBorder="1" applyAlignment="1">
      <alignment horizontal="center" vertical="center" textRotation="90" wrapText="1"/>
    </xf>
    <xf numFmtId="0" fontId="0" fillId="0" borderId="2" xfId="0" applyBorder="1" applyAlignment="1">
      <alignment horizontal="center" vertical="center"/>
    </xf>
    <xf numFmtId="0" fontId="0" fillId="0" borderId="18" xfId="0" applyBorder="1" applyAlignment="1">
      <alignment horizontal="center" vertical="center"/>
    </xf>
    <xf numFmtId="167" fontId="0" fillId="0" borderId="2" xfId="0" applyNumberFormat="1" applyBorder="1" applyAlignment="1">
      <alignment horizontal="right"/>
    </xf>
    <xf numFmtId="167" fontId="0" fillId="0" borderId="30" xfId="0" applyNumberFormat="1" applyBorder="1" applyAlignment="1">
      <alignment horizontal="right"/>
    </xf>
    <xf numFmtId="0" fontId="0" fillId="15" borderId="65" xfId="0" applyFill="1" applyBorder="1"/>
    <xf numFmtId="0" fontId="15" fillId="3" borderId="43" xfId="0" applyFont="1" applyFill="1" applyBorder="1"/>
    <xf numFmtId="0" fontId="0" fillId="0" borderId="43" xfId="0" applyBorder="1"/>
    <xf numFmtId="0" fontId="0" fillId="3" borderId="43" xfId="0" applyFill="1" applyBorder="1"/>
    <xf numFmtId="0" fontId="0" fillId="3" borderId="72" xfId="0" applyFill="1" applyBorder="1"/>
    <xf numFmtId="1" fontId="26" fillId="3" borderId="17" xfId="0" applyNumberFormat="1" applyFont="1" applyFill="1" applyBorder="1" applyAlignment="1">
      <alignment horizontal="center"/>
    </xf>
    <xf numFmtId="0" fontId="26" fillId="13" borderId="0" xfId="0" applyFont="1" applyFill="1"/>
    <xf numFmtId="0" fontId="0" fillId="13" borderId="0" xfId="0" applyFill="1"/>
    <xf numFmtId="0" fontId="51" fillId="0" borderId="0" xfId="0" applyFont="1"/>
    <xf numFmtId="165" fontId="17" fillId="5" borderId="29" xfId="0" applyNumberFormat="1" applyFont="1" applyFill="1" applyBorder="1" applyAlignment="1">
      <alignment horizontal="center" wrapText="1"/>
    </xf>
    <xf numFmtId="1" fontId="0" fillId="3" borderId="16" xfId="0" applyNumberFormat="1" applyFill="1" applyBorder="1" applyAlignment="1">
      <alignment horizontal="center"/>
    </xf>
    <xf numFmtId="0" fontId="0" fillId="0" borderId="0" xfId="0" applyFill="1"/>
    <xf numFmtId="0" fontId="0" fillId="0" borderId="0" xfId="0" applyFill="1" applyAlignment="1">
      <alignment horizontal="center"/>
    </xf>
    <xf numFmtId="1" fontId="26" fillId="0" borderId="0" xfId="0" applyNumberFormat="1" applyFont="1" applyFill="1" applyBorder="1" applyAlignment="1">
      <alignment horizontal="center"/>
    </xf>
    <xf numFmtId="0" fontId="26" fillId="0" borderId="0" xfId="0" applyFont="1" applyFill="1"/>
    <xf numFmtId="0" fontId="27" fillId="0" borderId="0" xfId="0" applyFont="1" applyFill="1"/>
    <xf numFmtId="0" fontId="0" fillId="15" borderId="0" xfId="0" applyFill="1" applyBorder="1"/>
    <xf numFmtId="0" fontId="0" fillId="0" borderId="52" xfId="0" applyFill="1" applyBorder="1" applyAlignment="1">
      <alignment horizontal="center"/>
    </xf>
    <xf numFmtId="0" fontId="0" fillId="0" borderId="52" xfId="0" applyFill="1" applyBorder="1"/>
    <xf numFmtId="1" fontId="0" fillId="0" borderId="0" xfId="0" applyNumberFormat="1" applyFill="1" applyAlignment="1">
      <alignment horizontal="center"/>
    </xf>
    <xf numFmtId="0" fontId="26" fillId="11" borderId="0" xfId="0" applyFont="1" applyFill="1" applyBorder="1"/>
    <xf numFmtId="169" fontId="36" fillId="0" borderId="12" xfId="2" applyNumberFormat="1" applyFont="1" applyFill="1" applyBorder="1" applyAlignment="1">
      <alignment horizontal="left"/>
    </xf>
    <xf numFmtId="165" fontId="12" fillId="0" borderId="12" xfId="0" applyNumberFormat="1" applyFont="1" applyFill="1" applyBorder="1" applyAlignment="1">
      <alignment wrapText="1"/>
    </xf>
    <xf numFmtId="168" fontId="12" fillId="0" borderId="12" xfId="0" applyNumberFormat="1" applyFont="1" applyFill="1" applyBorder="1" applyAlignment="1">
      <alignment wrapText="1"/>
    </xf>
    <xf numFmtId="0" fontId="12" fillId="0" borderId="73" xfId="0" applyFont="1" applyBorder="1" applyAlignment="1">
      <alignment horizontal="center" wrapText="1"/>
    </xf>
    <xf numFmtId="0" fontId="12" fillId="2" borderId="45" xfId="0" applyFont="1" applyFill="1" applyBorder="1" applyAlignment="1">
      <alignment horizontal="center" wrapText="1"/>
    </xf>
    <xf numFmtId="0" fontId="12" fillId="2" borderId="72" xfId="0" applyFont="1" applyFill="1" applyBorder="1" applyAlignment="1">
      <alignment horizontal="center" wrapText="1"/>
    </xf>
    <xf numFmtId="0" fontId="12" fillId="2" borderId="49" xfId="0" applyFont="1" applyFill="1" applyBorder="1" applyAlignment="1">
      <alignment horizontal="center" wrapText="1"/>
    </xf>
    <xf numFmtId="0" fontId="0" fillId="0" borderId="77" xfId="0" applyBorder="1" applyAlignment="1">
      <alignment horizontal="center" vertical="center"/>
    </xf>
    <xf numFmtId="0" fontId="0" fillId="0" borderId="4" xfId="0" applyBorder="1"/>
    <xf numFmtId="0" fontId="0" fillId="0" borderId="19" xfId="0" applyBorder="1"/>
    <xf numFmtId="167" fontId="17" fillId="3" borderId="78" xfId="0" applyNumberFormat="1" applyFont="1" applyFill="1" applyBorder="1" applyAlignment="1">
      <alignment horizontal="center" vertical="top" wrapText="1"/>
    </xf>
    <xf numFmtId="8" fontId="17" fillId="3" borderId="78" xfId="0" applyNumberFormat="1" applyFont="1" applyFill="1" applyBorder="1" applyAlignment="1">
      <alignment horizontal="center" vertical="top" wrapText="1"/>
    </xf>
    <xf numFmtId="167" fontId="17" fillId="3" borderId="79" xfId="0" applyNumberFormat="1" applyFont="1" applyFill="1" applyBorder="1" applyAlignment="1">
      <alignment horizontal="center" vertical="top" wrapText="1"/>
    </xf>
    <xf numFmtId="0" fontId="38" fillId="0" borderId="33" xfId="0" applyFont="1" applyFill="1" applyBorder="1" applyAlignment="1">
      <alignment vertical="center" wrapText="1"/>
    </xf>
    <xf numFmtId="0" fontId="8" fillId="22" borderId="80" xfId="0" applyFont="1" applyFill="1" applyBorder="1" applyAlignment="1">
      <alignment vertical="top" wrapText="1"/>
    </xf>
    <xf numFmtId="0" fontId="0" fillId="22" borderId="80" xfId="0" applyFill="1" applyBorder="1"/>
    <xf numFmtId="0" fontId="0" fillId="22" borderId="81" xfId="0" applyFill="1" applyBorder="1"/>
    <xf numFmtId="0" fontId="28" fillId="0" borderId="0" xfId="0" applyFont="1" applyAlignment="1">
      <alignment horizontal="center" vertical="top"/>
    </xf>
    <xf numFmtId="0" fontId="0" fillId="0" borderId="0" xfId="0" applyAlignment="1">
      <alignment vertical="top"/>
    </xf>
    <xf numFmtId="0" fontId="29" fillId="0" borderId="0" xfId="0" applyFont="1" applyAlignment="1">
      <alignment vertical="top" wrapText="1"/>
    </xf>
    <xf numFmtId="8" fontId="0" fillId="0" borderId="55" xfId="0" applyNumberFormat="1" applyBorder="1"/>
    <xf numFmtId="8" fontId="0" fillId="0" borderId="7" xfId="0" applyNumberFormat="1" applyBorder="1"/>
    <xf numFmtId="8" fontId="0" fillId="0" borderId="56" xfId="0" applyNumberFormat="1" applyBorder="1"/>
    <xf numFmtId="8" fontId="0" fillId="0" borderId="0" xfId="0" applyNumberFormat="1" applyBorder="1"/>
    <xf numFmtId="8" fontId="15" fillId="0" borderId="14" xfId="0" applyNumberFormat="1" applyFont="1" applyBorder="1"/>
    <xf numFmtId="0" fontId="38" fillId="2" borderId="33" xfId="0" applyFont="1" applyFill="1" applyBorder="1" applyAlignment="1">
      <alignment horizontal="center" vertical="center" wrapText="1"/>
    </xf>
    <xf numFmtId="0" fontId="12" fillId="0" borderId="3" xfId="0" applyFont="1" applyBorder="1" applyAlignment="1">
      <alignment horizontal="center" wrapText="1"/>
    </xf>
    <xf numFmtId="0" fontId="26" fillId="16" borderId="0" xfId="0" applyFont="1" applyFill="1" applyAlignment="1">
      <alignment horizontal="left"/>
    </xf>
    <xf numFmtId="0" fontId="6" fillId="0" borderId="2" xfId="0" applyFont="1" applyBorder="1" applyAlignment="1">
      <alignment horizontal="center" wrapText="1"/>
    </xf>
    <xf numFmtId="0" fontId="0" fillId="0" borderId="0" xfId="0" applyBorder="1" applyAlignment="1"/>
    <xf numFmtId="0" fontId="0" fillId="0" borderId="0" xfId="0" applyAlignment="1"/>
    <xf numFmtId="0" fontId="0" fillId="0" borderId="2" xfId="0" applyBorder="1" applyAlignment="1">
      <alignment horizontal="center" wrapText="1"/>
    </xf>
    <xf numFmtId="0" fontId="10" fillId="0" borderId="2" xfId="0" applyFont="1" applyBorder="1" applyAlignment="1">
      <alignment horizontal="center" wrapText="1"/>
    </xf>
    <xf numFmtId="0" fontId="0" fillId="0" borderId="2" xfId="0" applyBorder="1" applyAlignment="1"/>
    <xf numFmtId="0" fontId="29" fillId="0" borderId="0" xfId="0" applyFont="1" applyAlignment="1">
      <alignment wrapText="1"/>
    </xf>
    <xf numFmtId="0" fontId="5" fillId="0" borderId="0" xfId="0" applyFont="1" applyBorder="1" applyAlignment="1">
      <alignment horizontal="center"/>
    </xf>
    <xf numFmtId="0" fontId="12" fillId="2" borderId="48" xfId="0" applyFont="1" applyFill="1" applyBorder="1" applyAlignment="1">
      <alignment horizontal="center" wrapText="1"/>
    </xf>
    <xf numFmtId="0" fontId="12" fillId="2" borderId="39" xfId="0" applyFont="1" applyFill="1" applyBorder="1" applyAlignment="1">
      <alignment horizontal="center" wrapText="1"/>
    </xf>
    <xf numFmtId="0" fontId="12" fillId="2" borderId="64" xfId="0" applyFont="1" applyFill="1" applyBorder="1" applyAlignment="1">
      <alignment horizontal="center" wrapText="1"/>
    </xf>
    <xf numFmtId="0" fontId="0" fillId="3" borderId="0" xfId="0" applyFill="1" applyBorder="1" applyAlignment="1">
      <alignment horizontal="center"/>
    </xf>
    <xf numFmtId="0" fontId="12" fillId="2" borderId="47" xfId="0" applyFont="1" applyFill="1" applyBorder="1" applyAlignment="1">
      <alignment horizontal="center" wrapText="1"/>
    </xf>
    <xf numFmtId="0" fontId="12" fillId="24" borderId="23" xfId="0" applyFont="1" applyFill="1" applyBorder="1" applyAlignment="1">
      <alignment horizontal="center" wrapText="1"/>
    </xf>
    <xf numFmtId="0" fontId="12" fillId="24" borderId="12" xfId="0" applyFont="1" applyFill="1" applyBorder="1" applyAlignment="1">
      <alignment horizontal="center" wrapText="1"/>
    </xf>
    <xf numFmtId="0" fontId="12" fillId="24" borderId="26" xfId="0" applyFont="1" applyFill="1" applyBorder="1" applyAlignment="1">
      <alignment horizontal="center" wrapText="1"/>
    </xf>
    <xf numFmtId="0" fontId="26" fillId="0" borderId="0" xfId="0" applyFont="1" applyBorder="1"/>
    <xf numFmtId="0" fontId="26" fillId="0" borderId="0" xfId="0" applyFont="1" applyAlignment="1">
      <alignment horizontal="center" vertical="center"/>
    </xf>
    <xf numFmtId="1" fontId="26" fillId="0" borderId="0" xfId="0" applyNumberFormat="1" applyFont="1" applyAlignment="1">
      <alignment horizontal="center" vertical="center"/>
    </xf>
    <xf numFmtId="165" fontId="26" fillId="0" borderId="0" xfId="0" applyNumberFormat="1" applyFont="1" applyAlignment="1">
      <alignment horizontal="center" vertical="center"/>
    </xf>
    <xf numFmtId="0" fontId="26" fillId="0" borderId="16" xfId="0" applyFont="1" applyBorder="1" applyAlignment="1">
      <alignment horizontal="center" vertical="center"/>
    </xf>
    <xf numFmtId="0" fontId="15" fillId="0" borderId="0"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Border="1" applyAlignment="1">
      <alignment horizontal="center" vertical="center"/>
    </xf>
    <xf numFmtId="0" fontId="26" fillId="0" borderId="14" xfId="0" applyFont="1" applyBorder="1" applyAlignment="1">
      <alignment horizontal="center" vertical="center"/>
    </xf>
    <xf numFmtId="0" fontId="26" fillId="0" borderId="0" xfId="0" quotePrefix="1" applyFont="1" applyAlignment="1">
      <alignment horizontal="center" vertical="center"/>
    </xf>
    <xf numFmtId="0" fontId="10" fillId="0" borderId="2" xfId="0" applyFont="1" applyBorder="1" applyAlignment="1">
      <alignment horizontal="center" vertical="center" wrapText="1"/>
    </xf>
    <xf numFmtId="165" fontId="17" fillId="25" borderId="29" xfId="0" applyNumberFormat="1" applyFont="1" applyFill="1" applyBorder="1" applyAlignment="1">
      <alignment horizontal="center" wrapText="1"/>
    </xf>
    <xf numFmtId="0" fontId="26" fillId="25" borderId="0" xfId="0" applyFont="1" applyFill="1"/>
    <xf numFmtId="0" fontId="0" fillId="25" borderId="0" xfId="0" applyFill="1"/>
    <xf numFmtId="0" fontId="52" fillId="0" borderId="0" xfId="0" applyFont="1" applyAlignment="1">
      <alignment wrapText="1"/>
    </xf>
    <xf numFmtId="0" fontId="53" fillId="0" borderId="0" xfId="0" applyFont="1" applyAlignment="1">
      <alignment horizontal="center" vertical="center" wrapText="1"/>
    </xf>
    <xf numFmtId="0" fontId="53" fillId="0" borderId="0" xfId="0" applyFont="1" applyAlignment="1">
      <alignment wrapText="1"/>
    </xf>
    <xf numFmtId="166" fontId="53" fillId="0" borderId="0" xfId="0" applyNumberFormat="1" applyFont="1" applyAlignment="1">
      <alignment wrapText="1"/>
    </xf>
    <xf numFmtId="0" fontId="53" fillId="0" borderId="0" xfId="0" applyFont="1" applyAlignment="1">
      <alignment horizontal="center" wrapText="1"/>
    </xf>
    <xf numFmtId="165" fontId="12" fillId="0" borderId="49" xfId="0" applyNumberFormat="1" applyFont="1" applyBorder="1" applyAlignment="1">
      <alignment wrapText="1"/>
    </xf>
    <xf numFmtId="0" fontId="53" fillId="0" borderId="48" xfId="0" applyFont="1" applyBorder="1" applyAlignment="1">
      <alignment wrapText="1"/>
    </xf>
    <xf numFmtId="1" fontId="0" fillId="8" borderId="0" xfId="0" applyNumberFormat="1" applyFill="1" applyAlignment="1">
      <alignment horizontal="center"/>
    </xf>
    <xf numFmtId="167" fontId="12" fillId="25" borderId="2" xfId="0" applyNumberFormat="1" applyFont="1" applyFill="1" applyBorder="1" applyAlignment="1">
      <alignment horizontal="center" wrapText="1"/>
    </xf>
    <xf numFmtId="1" fontId="12" fillId="0" borderId="49" xfId="0" applyNumberFormat="1" applyFont="1" applyBorder="1" applyAlignment="1">
      <alignment horizontal="center" vertical="center" wrapText="1"/>
    </xf>
    <xf numFmtId="0" fontId="26" fillId="0" borderId="21" xfId="0" applyFont="1" applyBorder="1" applyAlignment="1">
      <alignment horizontal="right"/>
    </xf>
    <xf numFmtId="0" fontId="26" fillId="0" borderId="39" xfId="0" applyFont="1" applyBorder="1" applyAlignment="1">
      <alignment horizontal="center" vertical="center"/>
    </xf>
    <xf numFmtId="0" fontId="26" fillId="0" borderId="33" xfId="0" applyFont="1" applyBorder="1" applyAlignment="1">
      <alignment horizontal="left" vertical="center"/>
    </xf>
    <xf numFmtId="1" fontId="0" fillId="0" borderId="0" xfId="0" applyNumberFormat="1"/>
    <xf numFmtId="0" fontId="35" fillId="0" borderId="21" xfId="2" applyFont="1" applyFill="1" applyBorder="1" applyAlignment="1">
      <alignment horizontal="center" textRotation="90" wrapText="1"/>
    </xf>
    <xf numFmtId="0" fontId="35" fillId="6" borderId="21" xfId="2" applyFont="1" applyFill="1" applyBorder="1" applyAlignment="1">
      <alignment horizontal="center"/>
    </xf>
    <xf numFmtId="169" fontId="36" fillId="0" borderId="21" xfId="2" applyNumberFormat="1" applyFont="1" applyFill="1" applyBorder="1" applyAlignment="1">
      <alignment horizontal="left"/>
    </xf>
    <xf numFmtId="0" fontId="35" fillId="0" borderId="0" xfId="2" applyFont="1" applyFill="1" applyBorder="1" applyAlignment="1">
      <alignment horizontal="center" textRotation="90" wrapText="1"/>
    </xf>
    <xf numFmtId="0" fontId="35" fillId="6" borderId="0" xfId="2" applyFont="1" applyFill="1" applyBorder="1" applyAlignment="1">
      <alignment horizontal="center"/>
    </xf>
    <xf numFmtId="169" fontId="36" fillId="0" borderId="0" xfId="2" applyNumberFormat="1" applyFont="1" applyFill="1" applyBorder="1" applyAlignment="1">
      <alignment horizontal="left"/>
    </xf>
    <xf numFmtId="1" fontId="53" fillId="26" borderId="0" xfId="0" applyNumberFormat="1" applyFont="1" applyFill="1"/>
    <xf numFmtId="0" fontId="53" fillId="26" borderId="0" xfId="0" applyFont="1" applyFill="1"/>
    <xf numFmtId="168" fontId="10" fillId="26" borderId="0" xfId="0" applyNumberFormat="1" applyFont="1" applyFill="1" applyBorder="1" applyAlignment="1">
      <alignment wrapText="1"/>
    </xf>
    <xf numFmtId="0" fontId="0" fillId="0" borderId="0" xfId="0" applyAlignment="1">
      <alignment horizontal="left"/>
    </xf>
    <xf numFmtId="0" fontId="26" fillId="5" borderId="0" xfId="0" applyFont="1" applyFill="1" applyBorder="1" applyAlignment="1">
      <alignment horizontal="center"/>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82" xfId="0" applyFont="1" applyBorder="1" applyAlignment="1">
      <alignment horizontal="center" wrapText="1"/>
    </xf>
    <xf numFmtId="0" fontId="10" fillId="0" borderId="2" xfId="0" applyFont="1" applyBorder="1" applyAlignment="1">
      <alignment horizontal="center" wrapText="1"/>
    </xf>
    <xf numFmtId="0" fontId="6" fillId="0" borderId="2" xfId="0" applyFont="1" applyBorder="1" applyAlignment="1">
      <alignment wrapText="1"/>
    </xf>
    <xf numFmtId="0" fontId="12" fillId="2" borderId="83" xfId="0" applyFont="1" applyFill="1" applyBorder="1" applyAlignment="1">
      <alignment horizontal="center" wrapText="1"/>
    </xf>
    <xf numFmtId="0" fontId="12" fillId="2" borderId="58" xfId="0" applyFont="1" applyFill="1" applyBorder="1" applyAlignment="1">
      <alignment horizontal="center" wrapText="1"/>
    </xf>
    <xf numFmtId="0" fontId="12" fillId="2" borderId="84" xfId="0" applyFont="1" applyFill="1" applyBorder="1" applyAlignment="1">
      <alignment horizontal="center" wrapText="1"/>
    </xf>
    <xf numFmtId="0" fontId="26" fillId="14" borderId="0" xfId="0" applyFont="1" applyFill="1" applyBorder="1" applyAlignment="1">
      <alignment horizontal="center"/>
    </xf>
    <xf numFmtId="167" fontId="55" fillId="0" borderId="29" xfId="0" applyNumberFormat="1" applyFont="1" applyFill="1" applyBorder="1" applyAlignment="1">
      <alignment horizontal="center" wrapText="1"/>
    </xf>
    <xf numFmtId="0" fontId="0" fillId="26" borderId="0" xfId="0" applyFill="1"/>
    <xf numFmtId="0" fontId="51" fillId="26" borderId="0" xfId="0" applyFont="1" applyFill="1"/>
    <xf numFmtId="0" fontId="0" fillId="26" borderId="0" xfId="0" applyFill="1" applyAlignment="1">
      <alignment horizontal="center"/>
    </xf>
    <xf numFmtId="1" fontId="0" fillId="26" borderId="0" xfId="0" applyNumberFormat="1" applyFill="1" applyBorder="1" applyAlignment="1">
      <alignment horizontal="center"/>
    </xf>
    <xf numFmtId="166" fontId="0" fillId="26" borderId="0" xfId="0" applyNumberFormat="1" applyFill="1"/>
    <xf numFmtId="0" fontId="57" fillId="0" borderId="50" xfId="0" applyFont="1" applyBorder="1"/>
    <xf numFmtId="166" fontId="57" fillId="0" borderId="51" xfId="0" applyNumberFormat="1" applyFont="1" applyBorder="1"/>
    <xf numFmtId="0" fontId="57" fillId="0" borderId="51" xfId="0" applyFont="1" applyBorder="1"/>
    <xf numFmtId="0" fontId="57" fillId="0" borderId="44" xfId="0" applyFont="1" applyBorder="1"/>
    <xf numFmtId="166" fontId="57" fillId="0" borderId="45" xfId="0" applyNumberFormat="1" applyFont="1" applyBorder="1"/>
    <xf numFmtId="0" fontId="57" fillId="0" borderId="0" xfId="0" applyFont="1" applyBorder="1"/>
    <xf numFmtId="0" fontId="57" fillId="0" borderId="46" xfId="0" applyFont="1" applyBorder="1"/>
    <xf numFmtId="166" fontId="57" fillId="0" borderId="47" xfId="0" applyNumberFormat="1" applyFont="1" applyBorder="1"/>
    <xf numFmtId="0" fontId="57" fillId="0" borderId="48" xfId="0" applyFont="1" applyBorder="1"/>
    <xf numFmtId="0" fontId="57" fillId="0" borderId="49" xfId="0" applyFont="1" applyBorder="1"/>
    <xf numFmtId="0" fontId="20" fillId="0" borderId="4" xfId="0" applyFont="1" applyBorder="1" applyAlignment="1">
      <alignment horizontal="center" vertical="top" wrapText="1"/>
    </xf>
    <xf numFmtId="0" fontId="15" fillId="0" borderId="6" xfId="0" applyFont="1" applyBorder="1" applyAlignment="1">
      <alignment horizontal="center"/>
    </xf>
    <xf numFmtId="0" fontId="7" fillId="0" borderId="3" xfId="0" applyFont="1" applyBorder="1" applyAlignment="1">
      <alignment horizontal="center" vertical="top" wrapText="1"/>
    </xf>
    <xf numFmtId="0" fontId="60" fillId="21" borderId="0" xfId="0" applyFont="1" applyFill="1"/>
    <xf numFmtId="0" fontId="61" fillId="21" borderId="0" xfId="0" applyFont="1" applyFill="1"/>
    <xf numFmtId="0" fontId="62" fillId="21" borderId="0" xfId="0" applyFont="1" applyFill="1"/>
    <xf numFmtId="0" fontId="63" fillId="21" borderId="0" xfId="0" applyFont="1" applyFill="1"/>
    <xf numFmtId="0" fontId="64" fillId="21" borderId="0" xfId="0" applyFont="1" applyFill="1"/>
    <xf numFmtId="0" fontId="62" fillId="21" borderId="0" xfId="0" applyFont="1" applyFill="1" applyAlignment="1">
      <alignment wrapText="1"/>
    </xf>
    <xf numFmtId="0" fontId="0" fillId="0" borderId="28" xfId="0" applyBorder="1" applyAlignment="1">
      <alignment vertical="top" wrapText="1"/>
    </xf>
    <xf numFmtId="0" fontId="10" fillId="0" borderId="3" xfId="0" applyFont="1" applyBorder="1" applyAlignment="1">
      <alignment horizontal="center" wrapText="1"/>
    </xf>
    <xf numFmtId="0" fontId="65" fillId="0" borderId="0" xfId="1" applyFont="1"/>
    <xf numFmtId="0" fontId="29" fillId="13" borderId="0" xfId="0" applyFont="1" applyFill="1" applyAlignment="1">
      <alignment horizontal="left"/>
    </xf>
    <xf numFmtId="0" fontId="29" fillId="13" borderId="0" xfId="0" applyFont="1" applyFill="1"/>
    <xf numFmtId="0" fontId="31" fillId="16" borderId="0" xfId="0" applyFont="1" applyFill="1"/>
    <xf numFmtId="0" fontId="31" fillId="0" borderId="0" xfId="0" applyFont="1" applyAlignment="1">
      <alignment horizontal="center"/>
    </xf>
    <xf numFmtId="1" fontId="0" fillId="14" borderId="0" xfId="0" applyNumberFormat="1" applyFill="1" applyBorder="1" applyAlignment="1">
      <alignment horizontal="center"/>
    </xf>
    <xf numFmtId="0" fontId="0" fillId="16" borderId="0" xfId="0" applyFill="1"/>
    <xf numFmtId="165" fontId="66" fillId="13" borderId="0" xfId="0" applyNumberFormat="1" applyFont="1" applyFill="1" applyBorder="1" applyAlignment="1">
      <alignment horizontal="center" wrapText="1"/>
    </xf>
    <xf numFmtId="1" fontId="0" fillId="13" borderId="0" xfId="0" applyNumberFormat="1" applyFill="1" applyBorder="1" applyAlignment="1">
      <alignment horizontal="center"/>
    </xf>
    <xf numFmtId="0" fontId="26" fillId="16" borderId="0" xfId="0" applyFont="1" applyFill="1"/>
    <xf numFmtId="165" fontId="66" fillId="16" borderId="0" xfId="0" applyNumberFormat="1" applyFont="1" applyFill="1" applyBorder="1" applyAlignment="1">
      <alignment horizontal="center" wrapText="1"/>
    </xf>
    <xf numFmtId="0" fontId="0" fillId="16" borderId="0" xfId="0" applyFill="1" applyAlignment="1"/>
    <xf numFmtId="0" fontId="26" fillId="16" borderId="0" xfId="0" applyFont="1" applyFill="1" applyAlignment="1"/>
    <xf numFmtId="0" fontId="53" fillId="13" borderId="0" xfId="0" applyFont="1" applyFill="1"/>
    <xf numFmtId="0" fontId="53" fillId="14" borderId="0" xfId="0" applyFont="1" applyFill="1"/>
    <xf numFmtId="0" fontId="53" fillId="14" borderId="0" xfId="0" applyFont="1" applyFill="1" applyAlignment="1">
      <alignment horizontal="center"/>
    </xf>
    <xf numFmtId="165" fontId="21" fillId="13" borderId="0" xfId="0" applyNumberFormat="1" applyFont="1" applyFill="1" applyBorder="1" applyAlignment="1">
      <alignment horizontal="center" wrapText="1"/>
    </xf>
    <xf numFmtId="165" fontId="21" fillId="14" borderId="0" xfId="0" applyNumberFormat="1" applyFont="1" applyFill="1" applyBorder="1" applyAlignment="1">
      <alignment horizontal="center" wrapText="1"/>
    </xf>
    <xf numFmtId="0" fontId="53" fillId="0" borderId="0" xfId="0" applyFont="1"/>
    <xf numFmtId="0" fontId="14" fillId="0" borderId="1" xfId="0" applyFont="1" applyBorder="1" applyAlignment="1">
      <alignment textRotation="90" wrapText="1"/>
    </xf>
    <xf numFmtId="0" fontId="27" fillId="0" borderId="0" xfId="0" applyFont="1" applyBorder="1" applyAlignment="1">
      <alignment horizontal="center"/>
    </xf>
    <xf numFmtId="0" fontId="0" fillId="0" borderId="48" xfId="0" applyFill="1" applyBorder="1" applyAlignment="1">
      <alignment horizontal="center"/>
    </xf>
    <xf numFmtId="0" fontId="26" fillId="14" borderId="0" xfId="0" applyFont="1" applyFill="1" applyAlignment="1">
      <alignment horizontal="center"/>
    </xf>
    <xf numFmtId="0" fontId="14" fillId="0" borderId="1" xfId="0" applyFont="1" applyBorder="1" applyAlignment="1">
      <alignment horizontal="center" textRotation="90" wrapText="1"/>
    </xf>
    <xf numFmtId="0" fontId="10" fillId="0" borderId="1" xfId="0" applyFont="1" applyBorder="1" applyAlignment="1">
      <alignment horizontal="center" textRotation="90" wrapText="1"/>
    </xf>
    <xf numFmtId="0" fontId="4" fillId="0" borderId="0" xfId="0"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26" fillId="23" borderId="28" xfId="0" applyFont="1" applyFill="1" applyBorder="1" applyAlignment="1">
      <alignment horizontal="left" vertical="center"/>
    </xf>
    <xf numFmtId="0" fontId="0" fillId="23" borderId="28" xfId="0" applyFill="1" applyBorder="1" applyAlignment="1">
      <alignment horizontal="left" vertical="center"/>
    </xf>
    <xf numFmtId="0" fontId="0" fillId="23" borderId="30" xfId="0" applyFill="1" applyBorder="1" applyAlignment="1">
      <alignment horizontal="left" vertical="center"/>
    </xf>
    <xf numFmtId="0" fontId="15" fillId="0" borderId="38" xfId="0" applyFont="1" applyBorder="1" applyAlignment="1">
      <alignment horizontal="right" vertical="center" wrapText="1"/>
    </xf>
    <xf numFmtId="0" fontId="15" fillId="0" borderId="28" xfId="0" applyFont="1" applyBorder="1" applyAlignment="1">
      <alignment horizontal="right" vertical="center" wrapText="1"/>
    </xf>
    <xf numFmtId="0" fontId="0" fillId="0" borderId="38" xfId="0" applyBorder="1" applyAlignment="1">
      <alignment horizontal="right"/>
    </xf>
    <xf numFmtId="0" fontId="0" fillId="0" borderId="28" xfId="0" applyBorder="1" applyAlignment="1">
      <alignment horizontal="right"/>
    </xf>
    <xf numFmtId="0" fontId="0" fillId="0" borderId="28" xfId="0" applyBorder="1" applyAlignment="1"/>
    <xf numFmtId="0" fontId="6" fillId="0" borderId="15"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8" fontId="12" fillId="0" borderId="74" xfId="0" applyNumberFormat="1" applyFont="1" applyBorder="1" applyAlignment="1">
      <alignment horizontal="center" wrapText="1"/>
    </xf>
    <xf numFmtId="8" fontId="12" fillId="0" borderId="75" xfId="0" applyNumberFormat="1" applyFont="1" applyBorder="1" applyAlignment="1">
      <alignment horizontal="center" wrapText="1"/>
    </xf>
    <xf numFmtId="8" fontId="12" fillId="0" borderId="76" xfId="0" applyNumberFormat="1" applyFont="1" applyBorder="1" applyAlignment="1">
      <alignment horizontal="center" wrapText="1"/>
    </xf>
    <xf numFmtId="0" fontId="20" fillId="0" borderId="6" xfId="0" applyFont="1" applyBorder="1" applyAlignment="1">
      <alignment horizontal="center" wrapText="1"/>
    </xf>
    <xf numFmtId="0" fontId="10" fillId="0" borderId="0" xfId="0" applyFont="1" applyBorder="1" applyAlignment="1">
      <alignment horizontal="center"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8" fontId="12" fillId="0" borderId="13" xfId="0" applyNumberFormat="1" applyFont="1" applyBorder="1" applyAlignment="1">
      <alignment horizontal="center" wrapText="1"/>
    </xf>
    <xf numFmtId="8" fontId="12" fillId="0" borderId="18" xfId="0" applyNumberFormat="1" applyFont="1" applyBorder="1" applyAlignment="1">
      <alignment horizont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6" xfId="0" applyFont="1" applyBorder="1" applyAlignment="1">
      <alignment horizontal="center" vertical="top" wrapText="1"/>
    </xf>
    <xf numFmtId="0" fontId="15" fillId="0" borderId="1" xfId="0" applyFont="1" applyBorder="1" applyAlignment="1">
      <alignment horizontal="center" vertical="top" wrapText="1"/>
    </xf>
    <xf numFmtId="0" fontId="9" fillId="0" borderId="15" xfId="0" applyFont="1" applyBorder="1" applyAlignment="1">
      <alignment horizontal="center" vertical="top" wrapText="1"/>
    </xf>
    <xf numFmtId="0" fontId="9" fillId="0" borderId="63" xfId="0" applyFont="1" applyBorder="1" applyAlignment="1">
      <alignment horizontal="center" vertical="top" wrapText="1"/>
    </xf>
    <xf numFmtId="0" fontId="28" fillId="2" borderId="38" xfId="0" applyFont="1" applyFill="1" applyBorder="1" applyAlignment="1">
      <alignment horizontal="center" vertical="center" wrapText="1"/>
    </xf>
    <xf numFmtId="0" fontId="0" fillId="0" borderId="30" xfId="0" applyBorder="1" applyAlignment="1">
      <alignment horizontal="center" vertical="center"/>
    </xf>
    <xf numFmtId="0" fontId="0" fillId="0" borderId="28" xfId="0" applyBorder="1" applyAlignment="1">
      <alignment horizontal="right" vertical="center"/>
    </xf>
    <xf numFmtId="0" fontId="20" fillId="0" borderId="0" xfId="0" applyFont="1" applyBorder="1" applyAlignment="1">
      <alignment horizontal="center" wrapText="1"/>
    </xf>
    <xf numFmtId="0" fontId="7" fillId="0" borderId="38" xfId="0" applyFont="1" applyBorder="1" applyAlignment="1">
      <alignment horizontal="right" vertical="center" wrapText="1"/>
    </xf>
    <xf numFmtId="0" fontId="0" fillId="0" borderId="30" xfId="0" applyBorder="1" applyAlignment="1">
      <alignment horizontal="right" vertical="center"/>
    </xf>
    <xf numFmtId="0" fontId="26" fillId="2" borderId="28" xfId="0" quotePrefix="1" applyFont="1" applyFill="1" applyBorder="1" applyAlignment="1" applyProtection="1">
      <alignment vertical="center" wrapText="1"/>
    </xf>
    <xf numFmtId="0" fontId="0" fillId="0" borderId="28" xfId="0" applyBorder="1" applyAlignment="1" applyProtection="1">
      <alignment vertical="center" wrapText="1"/>
    </xf>
    <xf numFmtId="0" fontId="6" fillId="0" borderId="6" xfId="0" applyFont="1" applyBorder="1" applyAlignment="1">
      <alignment horizontal="center" vertical="top" wrapText="1"/>
    </xf>
    <xf numFmtId="0" fontId="6" fillId="0" borderId="1" xfId="0" applyFont="1" applyBorder="1" applyAlignment="1">
      <alignment horizontal="center" vertical="top" wrapText="1"/>
    </xf>
    <xf numFmtId="0" fontId="26" fillId="2" borderId="28" xfId="0" applyFont="1" applyFill="1" applyBorder="1" applyAlignment="1" applyProtection="1">
      <alignment vertical="center" wrapText="1"/>
    </xf>
    <xf numFmtId="167" fontId="12" fillId="13" borderId="60" xfId="0" applyNumberFormat="1" applyFont="1" applyFill="1" applyBorder="1" applyAlignment="1">
      <alignment horizontal="center" wrapText="1"/>
    </xf>
    <xf numFmtId="167" fontId="12" fillId="13" borderId="61" xfId="0" applyNumberFormat="1" applyFont="1" applyFill="1" applyBorder="1" applyAlignment="1">
      <alignment horizontal="center" wrapText="1"/>
    </xf>
    <xf numFmtId="167" fontId="12" fillId="13" borderId="62" xfId="0" applyNumberFormat="1" applyFont="1" applyFill="1"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167" fontId="12" fillId="13" borderId="13" xfId="0" applyNumberFormat="1" applyFont="1" applyFill="1" applyBorder="1" applyAlignment="1">
      <alignment horizontal="center" wrapText="1"/>
    </xf>
    <xf numFmtId="167" fontId="12" fillId="13" borderId="18" xfId="0" applyNumberFormat="1" applyFont="1" applyFill="1" applyBorder="1" applyAlignment="1">
      <alignment horizontal="center" wrapText="1"/>
    </xf>
    <xf numFmtId="0" fontId="7" fillId="0" borderId="38" xfId="0" applyFont="1" applyBorder="1" applyAlignment="1">
      <alignment vertical="top" wrapText="1"/>
    </xf>
    <xf numFmtId="0" fontId="0" fillId="0" borderId="28" xfId="0" applyBorder="1" applyAlignment="1">
      <alignment vertical="top" wrapText="1"/>
    </xf>
    <xf numFmtId="0" fontId="7" fillId="0" borderId="28" xfId="0" applyFont="1" applyBorder="1" applyAlignment="1">
      <alignment vertical="top" wrapText="1"/>
    </xf>
    <xf numFmtId="0" fontId="0" fillId="0" borderId="30" xfId="0" applyBorder="1" applyAlignment="1">
      <alignment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38" fillId="2" borderId="21" xfId="0" applyFont="1" applyFill="1" applyBorder="1" applyAlignment="1">
      <alignment horizontal="center" vertical="center" wrapText="1"/>
    </xf>
    <xf numFmtId="0" fontId="0" fillId="0" borderId="27" xfId="0" applyBorder="1" applyAlignment="1">
      <alignment horizontal="center" vertical="center" wrapText="1"/>
    </xf>
    <xf numFmtId="0" fontId="38" fillId="0" borderId="21" xfId="0" applyFont="1" applyFill="1" applyBorder="1" applyAlignment="1">
      <alignment vertical="center" wrapText="1"/>
    </xf>
    <xf numFmtId="0" fontId="0" fillId="0" borderId="27" xfId="0" applyBorder="1" applyAlignment="1">
      <alignment vertical="center" wrapText="1"/>
    </xf>
    <xf numFmtId="0" fontId="8" fillId="0" borderId="38" xfId="0" applyFont="1" applyBorder="1" applyAlignment="1">
      <alignment vertical="top" wrapText="1"/>
    </xf>
    <xf numFmtId="0" fontId="0" fillId="0" borderId="28" xfId="0" applyBorder="1"/>
    <xf numFmtId="0" fontId="8" fillId="2" borderId="64" xfId="0" applyFont="1" applyFill="1" applyBorder="1" applyAlignment="1">
      <alignment vertical="top" wrapText="1"/>
    </xf>
    <xf numFmtId="0" fontId="0" fillId="0" borderId="64" xfId="0" applyBorder="1" applyAlignment="1">
      <alignment vertical="top" wrapText="1"/>
    </xf>
    <xf numFmtId="0" fontId="0" fillId="0" borderId="71" xfId="0" applyBorder="1" applyAlignment="1">
      <alignment vertical="top" wrapText="1"/>
    </xf>
    <xf numFmtId="1" fontId="42" fillId="0" borderId="38" xfId="0" applyNumberFormat="1" applyFont="1" applyBorder="1" applyAlignment="1">
      <alignment horizontal="center" vertical="center" wrapText="1"/>
    </xf>
    <xf numFmtId="0" fontId="42" fillId="0" borderId="28" xfId="0" applyFont="1" applyBorder="1" applyAlignment="1">
      <alignment horizontal="center" vertical="center" wrapText="1"/>
    </xf>
    <xf numFmtId="1" fontId="49" fillId="0" borderId="16" xfId="0" applyNumberFormat="1" applyFont="1" applyBorder="1" applyAlignment="1">
      <alignment horizontal="left" vertical="top" wrapText="1"/>
    </xf>
    <xf numFmtId="0" fontId="50" fillId="0" borderId="16" xfId="0" applyFont="1" applyBorder="1" applyAlignment="1">
      <alignment horizontal="left" vertical="top" wrapText="1"/>
    </xf>
    <xf numFmtId="0" fontId="50" fillId="0" borderId="17" xfId="0" applyFont="1" applyBorder="1" applyAlignment="1">
      <alignment horizontal="left" vertical="top" wrapText="1"/>
    </xf>
    <xf numFmtId="0" fontId="17" fillId="3" borderId="68" xfId="0" applyFont="1" applyFill="1" applyBorder="1" applyAlignment="1">
      <alignment horizontal="left" vertical="top" wrapText="1"/>
    </xf>
    <xf numFmtId="0" fontId="17" fillId="3" borderId="48" xfId="0" applyFont="1" applyFill="1" applyBorder="1" applyAlignment="1">
      <alignment horizontal="left" vertical="top" wrapText="1"/>
    </xf>
    <xf numFmtId="0" fontId="15" fillId="3" borderId="48" xfId="0" applyFont="1" applyFill="1" applyBorder="1" applyAlignment="1">
      <alignment horizontal="left" vertical="top" wrapText="1"/>
    </xf>
    <xf numFmtId="0" fontId="15" fillId="3" borderId="67" xfId="0" applyFont="1" applyFill="1" applyBorder="1" applyAlignment="1">
      <alignment horizontal="left" vertical="top" wrapText="1"/>
    </xf>
    <xf numFmtId="0" fontId="8" fillId="2" borderId="39" xfId="0" applyFont="1" applyFill="1" applyBorder="1" applyAlignment="1">
      <alignment vertical="top" wrapText="1"/>
    </xf>
    <xf numFmtId="0" fontId="0" fillId="0" borderId="39" xfId="0" applyBorder="1" applyAlignment="1">
      <alignment vertical="top" wrapText="1"/>
    </xf>
    <xf numFmtId="0" fontId="8" fillId="0" borderId="6" xfId="0" applyFont="1" applyBorder="1" applyAlignment="1">
      <alignment vertical="top" wrapText="1"/>
    </xf>
    <xf numFmtId="0" fontId="8" fillId="0" borderId="0" xfId="0" applyFont="1" applyBorder="1" applyAlignment="1">
      <alignment vertical="top" wrapText="1"/>
    </xf>
    <xf numFmtId="0" fontId="8" fillId="0" borderId="2" xfId="0" applyFont="1" applyBorder="1" applyAlignment="1">
      <alignment vertical="top" wrapText="1"/>
    </xf>
    <xf numFmtId="0" fontId="8" fillId="23" borderId="65" xfId="0" applyFont="1" applyFill="1" applyBorder="1" applyAlignment="1">
      <alignment vertical="top" wrapText="1"/>
    </xf>
    <xf numFmtId="0" fontId="0" fillId="23" borderId="65" xfId="0" applyFill="1" applyBorder="1" applyAlignment="1">
      <alignment vertical="top" wrapText="1"/>
    </xf>
    <xf numFmtId="0" fontId="0" fillId="23" borderId="66" xfId="0" applyFill="1" applyBorder="1" applyAlignment="1">
      <alignment vertical="top" wrapText="1"/>
    </xf>
    <xf numFmtId="0" fontId="8" fillId="2" borderId="45" xfId="0" applyFont="1" applyFill="1" applyBorder="1" applyAlignment="1">
      <alignment vertical="top" wrapText="1"/>
    </xf>
    <xf numFmtId="0" fontId="0" fillId="0" borderId="0" xfId="0" applyBorder="1" applyAlignment="1"/>
    <xf numFmtId="0" fontId="0" fillId="0" borderId="2" xfId="0" applyBorder="1" applyAlignment="1"/>
    <xf numFmtId="0" fontId="0" fillId="0" borderId="47" xfId="0" applyBorder="1" applyAlignment="1"/>
    <xf numFmtId="0" fontId="0" fillId="0" borderId="48" xfId="0" applyBorder="1" applyAlignment="1"/>
    <xf numFmtId="0" fontId="0" fillId="0" borderId="67" xfId="0" applyBorder="1" applyAlignment="1"/>
    <xf numFmtId="0" fontId="8" fillId="0" borderId="6" xfId="0" applyFont="1" applyFill="1" applyBorder="1" applyAlignment="1">
      <alignment horizontal="right" vertical="top" wrapText="1"/>
    </xf>
    <xf numFmtId="0" fontId="0" fillId="0" borderId="68" xfId="0" applyBorder="1" applyAlignment="1">
      <alignment horizontal="right"/>
    </xf>
    <xf numFmtId="0" fontId="19" fillId="0" borderId="6" xfId="0" applyFont="1" applyBorder="1" applyAlignment="1">
      <alignment horizontal="left" vertical="top" wrapText="1" indent="4"/>
    </xf>
    <xf numFmtId="0" fontId="19" fillId="0" borderId="0" xfId="0" applyFont="1" applyBorder="1" applyAlignment="1">
      <alignment horizontal="left" vertical="top" wrapText="1" indent="4"/>
    </xf>
    <xf numFmtId="0" fontId="19" fillId="0" borderId="2" xfId="0" applyFont="1" applyBorder="1" applyAlignment="1">
      <alignment horizontal="left" vertical="top" wrapText="1" indent="4"/>
    </xf>
    <xf numFmtId="0" fontId="26" fillId="2" borderId="51" xfId="0" applyFont="1" applyFill="1" applyBorder="1" applyAlignment="1">
      <alignment vertical="top" wrapText="1"/>
    </xf>
    <xf numFmtId="0" fontId="0" fillId="2" borderId="51" xfId="0" applyFill="1" applyBorder="1" applyAlignment="1"/>
    <xf numFmtId="0" fontId="0" fillId="2" borderId="69" xfId="0" applyFill="1" applyBorder="1" applyAlignment="1"/>
    <xf numFmtId="0" fontId="8" fillId="2" borderId="70" xfId="0" quotePrefix="1" applyFont="1" applyFill="1" applyBorder="1" applyAlignment="1">
      <alignment vertical="top" wrapText="1"/>
    </xf>
    <xf numFmtId="0" fontId="8" fillId="2" borderId="70" xfId="0" applyFont="1" applyFill="1" applyBorder="1" applyAlignment="1">
      <alignment vertical="top" wrapText="1"/>
    </xf>
    <xf numFmtId="0" fontId="0" fillId="2" borderId="56" xfId="0" applyFill="1" applyBorder="1" applyAlignment="1">
      <alignment vertical="top" wrapText="1"/>
    </xf>
    <xf numFmtId="0" fontId="8" fillId="0" borderId="15" xfId="0" applyFont="1" applyBorder="1" applyAlignment="1">
      <alignment vertical="top" wrapText="1"/>
    </xf>
    <xf numFmtId="0" fontId="0" fillId="0" borderId="16" xfId="0" applyBorder="1" applyAlignment="1">
      <alignment vertical="top"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8" xfId="0" applyFont="1" applyBorder="1" applyAlignment="1">
      <alignment horizontal="right" vertical="top" wrapText="1"/>
    </xf>
    <xf numFmtId="0" fontId="0" fillId="0" borderId="28" xfId="0" applyBorder="1" applyAlignment="1">
      <alignment horizontal="right" vertical="top" wrapText="1"/>
    </xf>
    <xf numFmtId="0" fontId="19" fillId="0" borderId="16" xfId="0" applyFont="1" applyBorder="1" applyAlignment="1">
      <alignment horizontal="center" vertical="top" wrapText="1"/>
    </xf>
    <xf numFmtId="0" fontId="20" fillId="0" borderId="38" xfId="0" applyFont="1" applyBorder="1" applyAlignment="1">
      <alignment horizontal="right" vertical="top" wrapText="1"/>
    </xf>
    <xf numFmtId="0" fontId="20" fillId="0" borderId="28" xfId="0" applyFont="1" applyBorder="1" applyAlignment="1">
      <alignment horizontal="right" vertical="top" wrapText="1"/>
    </xf>
    <xf numFmtId="0" fontId="20" fillId="0" borderId="30" xfId="0" applyFont="1" applyBorder="1" applyAlignment="1">
      <alignment horizontal="right" vertical="top" wrapText="1"/>
    </xf>
    <xf numFmtId="0" fontId="10" fillId="0" borderId="15" xfId="0" applyFont="1" applyBorder="1" applyAlignment="1">
      <alignment vertical="top" wrapText="1"/>
    </xf>
    <xf numFmtId="0" fontId="0" fillId="0" borderId="16" xfId="0" applyBorder="1" applyAlignment="1"/>
    <xf numFmtId="0" fontId="8" fillId="2" borderId="14" xfId="0" applyFont="1" applyFill="1" applyBorder="1" applyAlignment="1">
      <alignment vertical="top" wrapText="1"/>
    </xf>
    <xf numFmtId="0" fontId="0" fillId="0" borderId="14" xfId="0" applyBorder="1" applyAlignment="1">
      <alignment vertical="top" wrapText="1"/>
    </xf>
    <xf numFmtId="0" fontId="10" fillId="0" borderId="0" xfId="0" applyFont="1" applyBorder="1" applyAlignment="1">
      <alignment vertical="top" wrapText="1"/>
    </xf>
    <xf numFmtId="0" fontId="8" fillId="0" borderId="20" xfId="0" applyFont="1" applyFill="1" applyBorder="1" applyAlignment="1">
      <alignment horizontal="right" vertical="top" wrapText="1"/>
    </xf>
    <xf numFmtId="0" fontId="8" fillId="0" borderId="39" xfId="0" applyFont="1" applyFill="1" applyBorder="1" applyAlignment="1">
      <alignment horizontal="right" vertical="top" wrapText="1"/>
    </xf>
    <xf numFmtId="0" fontId="8" fillId="0" borderId="33" xfId="0" applyFont="1" applyFill="1" applyBorder="1" applyAlignment="1">
      <alignment horizontal="right" vertical="top" wrapText="1"/>
    </xf>
    <xf numFmtId="0" fontId="0" fillId="2" borderId="64" xfId="0" applyFill="1" applyBorder="1" applyAlignment="1">
      <alignment vertical="top" wrapText="1"/>
    </xf>
    <xf numFmtId="0" fontId="0" fillId="2" borderId="39" xfId="0" applyFill="1" applyBorder="1" applyAlignment="1">
      <alignment vertical="top" wrapText="1"/>
    </xf>
    <xf numFmtId="0" fontId="26" fillId="2" borderId="39" xfId="0" applyFont="1" applyFill="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10" fillId="0" borderId="16" xfId="0" applyFont="1" applyBorder="1" applyAlignment="1">
      <alignment vertical="top" wrapText="1"/>
    </xf>
    <xf numFmtId="0" fontId="0" fillId="0" borderId="17" xfId="0" applyBorder="1" applyAlignment="1"/>
    <xf numFmtId="0" fontId="0" fillId="0" borderId="0" xfId="0" applyBorder="1" applyAlignment="1">
      <alignment vertical="top" wrapText="1"/>
    </xf>
    <xf numFmtId="0" fontId="0" fillId="0" borderId="2" xfId="0" applyBorder="1" applyAlignment="1">
      <alignment vertical="top" wrapText="1"/>
    </xf>
    <xf numFmtId="0" fontId="8" fillId="2" borderId="21" xfId="0" applyFont="1" applyFill="1" applyBorder="1" applyAlignment="1">
      <alignment vertical="top" wrapText="1"/>
    </xf>
    <xf numFmtId="0" fontId="0" fillId="0" borderId="39" xfId="0" applyBorder="1" applyAlignment="1"/>
    <xf numFmtId="0" fontId="0" fillId="0" borderId="27" xfId="0" applyBorder="1" applyAlignment="1"/>
    <xf numFmtId="0" fontId="8" fillId="23" borderId="21" xfId="0" applyFont="1" applyFill="1" applyBorder="1" applyAlignment="1">
      <alignment vertical="top" wrapText="1"/>
    </xf>
    <xf numFmtId="0" fontId="0" fillId="0" borderId="33" xfId="0" applyBorder="1" applyAlignment="1">
      <alignment vertical="top" wrapText="1"/>
    </xf>
    <xf numFmtId="0" fontId="8" fillId="23" borderId="14" xfId="0" applyFont="1" applyFill="1" applyBorder="1" applyAlignment="1">
      <alignment vertical="top" wrapText="1"/>
    </xf>
    <xf numFmtId="0" fontId="0" fillId="23" borderId="14" xfId="0" applyFill="1" applyBorder="1" applyAlignment="1"/>
    <xf numFmtId="0" fontId="0" fillId="23" borderId="18" xfId="0" applyFill="1" applyBorder="1" applyAlignment="1"/>
    <xf numFmtId="0" fontId="40" fillId="4" borderId="39" xfId="0" applyFont="1" applyFill="1" applyBorder="1" applyAlignment="1">
      <alignment horizontal="center" vertical="center" wrapText="1"/>
    </xf>
    <xf numFmtId="0" fontId="41" fillId="0" borderId="39" xfId="0" applyFont="1" applyBorder="1" applyAlignment="1">
      <alignment horizontal="center" vertical="center" wrapText="1"/>
    </xf>
    <xf numFmtId="0" fontId="41" fillId="0" borderId="27" xfId="0" applyFont="1" applyBorder="1" applyAlignment="1">
      <alignment horizontal="center" vertical="center" wrapText="1"/>
    </xf>
    <xf numFmtId="0" fontId="8" fillId="21" borderId="20" xfId="0" applyFont="1" applyFill="1" applyBorder="1" applyAlignment="1">
      <alignment vertical="top" wrapText="1"/>
    </xf>
    <xf numFmtId="0" fontId="0" fillId="21" borderId="39" xfId="0" applyFill="1" applyBorder="1" applyAlignment="1">
      <alignment wrapText="1"/>
    </xf>
    <xf numFmtId="0" fontId="0" fillId="21" borderId="27" xfId="0" applyFill="1" applyBorder="1" applyAlignment="1">
      <alignment wrapText="1"/>
    </xf>
    <xf numFmtId="0" fontId="10" fillId="0" borderId="38" xfId="0" applyFont="1" applyBorder="1" applyAlignment="1">
      <alignment vertical="top" wrapText="1"/>
    </xf>
    <xf numFmtId="0" fontId="10" fillId="0" borderId="3" xfId="0" applyFont="1" applyBorder="1" applyAlignment="1">
      <alignment horizontal="center" wrapText="1"/>
    </xf>
    <xf numFmtId="0" fontId="26" fillId="25" borderId="28" xfId="0" applyFont="1" applyFill="1" applyBorder="1" applyAlignment="1">
      <alignment horizontal="left" vertical="top" wrapText="1"/>
    </xf>
    <xf numFmtId="0" fontId="26" fillId="25" borderId="30" xfId="0" applyFont="1" applyFill="1" applyBorder="1" applyAlignment="1">
      <alignment horizontal="left" vertical="top" wrapText="1"/>
    </xf>
    <xf numFmtId="0" fontId="15" fillId="0" borderId="28" xfId="0" applyFont="1" applyBorder="1" applyAlignment="1">
      <alignment horizontal="right" vertical="top" wrapText="1"/>
    </xf>
    <xf numFmtId="0" fontId="56" fillId="0" borderId="16" xfId="0" applyFont="1" applyFill="1" applyBorder="1" applyAlignment="1">
      <alignment horizontal="right" wrapText="1"/>
    </xf>
    <xf numFmtId="0" fontId="56" fillId="0" borderId="17" xfId="0" applyFont="1" applyFill="1" applyBorder="1" applyAlignment="1">
      <alignment horizontal="right" wrapText="1"/>
    </xf>
    <xf numFmtId="0" fontId="7" fillId="0" borderId="38" xfId="0" applyFont="1" applyBorder="1" applyAlignment="1">
      <alignment horizontal="right" vertical="top" wrapText="1"/>
    </xf>
    <xf numFmtId="0" fontId="7" fillId="0" borderId="28" xfId="0" applyFont="1" applyBorder="1" applyAlignment="1">
      <alignment horizontal="right" vertical="top" wrapText="1"/>
    </xf>
    <xf numFmtId="0" fontId="0" fillId="0" borderId="30" xfId="0" applyBorder="1" applyAlignment="1">
      <alignment horizontal="right"/>
    </xf>
    <xf numFmtId="0" fontId="28" fillId="25" borderId="38" xfId="0" applyFont="1" applyFill="1" applyBorder="1" applyAlignment="1">
      <alignment horizontal="center" vertical="center" wrapText="1"/>
    </xf>
    <xf numFmtId="0" fontId="0" fillId="25" borderId="30" xfId="0" applyFill="1" applyBorder="1" applyAlignment="1">
      <alignment horizontal="center" vertical="center"/>
    </xf>
    <xf numFmtId="0" fontId="26" fillId="25" borderId="28" xfId="0" applyFont="1" applyFill="1" applyBorder="1" applyAlignment="1" applyProtection="1">
      <alignment vertical="top" wrapText="1"/>
    </xf>
    <xf numFmtId="0" fontId="0" fillId="25" borderId="28" xfId="0" applyFill="1" applyBorder="1" applyAlignment="1" applyProtection="1">
      <alignment vertical="top" wrapText="1"/>
    </xf>
    <xf numFmtId="0" fontId="12" fillId="2" borderId="12" xfId="0" applyFont="1" applyFill="1" applyBorder="1" applyAlignment="1" applyProtection="1">
      <alignment wrapText="1"/>
    </xf>
    <xf numFmtId="0" fontId="12" fillId="2" borderId="24" xfId="0" applyFont="1" applyFill="1" applyBorder="1" applyAlignment="1" applyProtection="1">
      <alignment wrapText="1"/>
    </xf>
    <xf numFmtId="165" fontId="12" fillId="2" borderId="12" xfId="0" applyNumberFormat="1" applyFont="1" applyFill="1" applyBorder="1" applyAlignment="1" applyProtection="1">
      <alignment wrapText="1"/>
    </xf>
  </cellXfs>
  <cellStyles count="3">
    <cellStyle name="Hyperlink" xfId="1" builtinId="8"/>
    <cellStyle name="Normal" xfId="0" builtinId="0"/>
    <cellStyle name="Normal_2008 Entry List" xfId="2"/>
  </cellStyles>
  <dxfs count="22">
    <dxf>
      <fill>
        <patternFill>
          <bgColor indexed="47"/>
        </patternFill>
      </fill>
    </dxf>
    <dxf>
      <fill>
        <patternFill>
          <bgColor indexed="11"/>
        </patternFill>
      </fill>
    </dxf>
    <dxf>
      <fill>
        <patternFill>
          <bgColor indexed="47"/>
        </patternFill>
      </fill>
    </dxf>
    <dxf>
      <fill>
        <patternFill>
          <bgColor indexed="11"/>
        </patternFill>
      </fill>
    </dxf>
    <dxf>
      <fill>
        <patternFill>
          <bgColor indexed="47"/>
        </patternFill>
      </fill>
    </dxf>
    <dxf>
      <fill>
        <patternFill>
          <bgColor indexed="11"/>
        </patternFill>
      </fill>
    </dxf>
    <dxf>
      <fill>
        <patternFill>
          <bgColor indexed="42"/>
        </patternFill>
      </fill>
    </dxf>
    <dxf>
      <fill>
        <patternFill>
          <bgColor indexed="47"/>
        </patternFill>
      </fill>
    </dxf>
    <dxf>
      <fill>
        <patternFill>
          <bgColor indexed="11"/>
        </patternFill>
      </fill>
    </dxf>
    <dxf>
      <font>
        <b val="0"/>
        <i val="0"/>
        <color rgb="FFFF0000"/>
      </font>
      <fill>
        <patternFill>
          <bgColor rgb="FFFFFF00"/>
        </patternFill>
      </fill>
    </dxf>
    <dxf>
      <fill>
        <patternFill>
          <bgColor rgb="FFFFC000"/>
        </patternFill>
      </fill>
    </dxf>
    <dxf>
      <font>
        <color rgb="FFFFC000"/>
      </font>
      <fill>
        <patternFill>
          <bgColor rgb="FFFFC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26"/>
      </font>
      <fill>
        <patternFill>
          <bgColor indexed="10"/>
        </patternFill>
      </fill>
    </dxf>
    <dxf>
      <font>
        <b/>
        <i val="0"/>
        <color theme="0"/>
      </font>
      <fill>
        <patternFill>
          <bgColor theme="1" tint="4.9989318521683403E-2"/>
        </patternFill>
      </fill>
    </dxf>
    <dxf>
      <font>
        <b val="0"/>
        <i val="0"/>
        <color rgb="FFFF0000"/>
      </font>
      <fill>
        <patternFill>
          <bgColor rgb="FFFFFF00"/>
        </patternFill>
      </fill>
    </dxf>
    <dxf>
      <fill>
        <patternFill>
          <bgColor rgb="FFFFC000"/>
        </patternFill>
      </fill>
    </dxf>
    <dxf>
      <font>
        <color rgb="FFFFC000"/>
      </font>
      <fill>
        <patternFill>
          <bgColor rgb="FFFFC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26"/>
      </font>
      <fill>
        <patternFill>
          <bgColor indexed="10"/>
        </patternFill>
      </fill>
    </dxf>
  </dxfs>
  <tableStyles count="0" defaultTableStyle="TableStyleMedium2"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104775</xdr:colOff>
      <xdr:row>2</xdr:row>
      <xdr:rowOff>114300</xdr:rowOff>
    </xdr:from>
    <xdr:to>
      <xdr:col>2</xdr:col>
      <xdr:colOff>523875</xdr:colOff>
      <xdr:row>6</xdr:row>
      <xdr:rowOff>85725</xdr:rowOff>
    </xdr:to>
    <xdr:pic>
      <xdr:nvPicPr>
        <xdr:cNvPr id="106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447675"/>
          <a:ext cx="1095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165101</xdr:colOff>
      <xdr:row>1</xdr:row>
      <xdr:rowOff>127001</xdr:rowOff>
    </xdr:from>
    <xdr:to>
      <xdr:col>24</xdr:col>
      <xdr:colOff>815279</xdr:colOff>
      <xdr:row>5</xdr:row>
      <xdr:rowOff>25400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47601" y="495301"/>
          <a:ext cx="1958278" cy="596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1</xdr:row>
      <xdr:rowOff>66675</xdr:rowOff>
    </xdr:from>
    <xdr:to>
      <xdr:col>2</xdr:col>
      <xdr:colOff>133350</xdr:colOff>
      <xdr:row>4</xdr:row>
      <xdr:rowOff>180975</xdr:rowOff>
    </xdr:to>
    <xdr:pic>
      <xdr:nvPicPr>
        <xdr:cNvPr id="208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28600"/>
          <a:ext cx="9525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123826</xdr:rowOff>
    </xdr:from>
    <xdr:to>
      <xdr:col>9</xdr:col>
      <xdr:colOff>0</xdr:colOff>
      <xdr:row>5</xdr:row>
      <xdr:rowOff>21406</xdr:rowOff>
    </xdr:to>
    <xdr:pic>
      <xdr:nvPicPr>
        <xdr:cNvPr id="208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2388" y="123826"/>
          <a:ext cx="1262865" cy="871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2</xdr:row>
      <xdr:rowOff>114300</xdr:rowOff>
    </xdr:from>
    <xdr:to>
      <xdr:col>3</xdr:col>
      <xdr:colOff>523875</xdr:colOff>
      <xdr:row>6</xdr:row>
      <xdr:rowOff>85725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38175"/>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101600</xdr:colOff>
      <xdr:row>2</xdr:row>
      <xdr:rowOff>0</xdr:rowOff>
    </xdr:from>
    <xdr:to>
      <xdr:col>25</xdr:col>
      <xdr:colOff>840678</xdr:colOff>
      <xdr:row>4</xdr:row>
      <xdr:rowOff>165099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95300" y="482600"/>
          <a:ext cx="1958278" cy="596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C37"/>
  <sheetViews>
    <sheetView tabSelected="1" zoomScale="75" zoomScaleNormal="75" workbookViewId="0">
      <selection activeCell="A2" sqref="A2"/>
    </sheetView>
  </sheetViews>
  <sheetFormatPr defaultRowHeight="12.75" x14ac:dyDescent="0.2"/>
  <cols>
    <col min="1" max="1" width="5" customWidth="1"/>
    <col min="2" max="2" width="6.85546875" customWidth="1"/>
    <col min="3" max="3" width="132.28515625" customWidth="1"/>
  </cols>
  <sheetData>
    <row r="1" spans="2:3" ht="9" customHeight="1" x14ac:dyDescent="0.25">
      <c r="B1" s="94"/>
      <c r="C1" s="88"/>
    </row>
    <row r="2" spans="2:3" ht="20.25" x14ac:dyDescent="0.3">
      <c r="B2" s="462" t="s">
        <v>394</v>
      </c>
      <c r="C2" s="461"/>
    </row>
    <row r="3" spans="2:3" ht="18" x14ac:dyDescent="0.25">
      <c r="B3" s="458"/>
      <c r="C3" s="458" t="s">
        <v>399</v>
      </c>
    </row>
    <row r="4" spans="2:3" ht="18" x14ac:dyDescent="0.25">
      <c r="B4" s="458"/>
      <c r="C4" s="460" t="s">
        <v>397</v>
      </c>
    </row>
    <row r="5" spans="2:3" ht="18" x14ac:dyDescent="0.25">
      <c r="B5" s="458"/>
      <c r="C5" s="460" t="s">
        <v>396</v>
      </c>
    </row>
    <row r="6" spans="2:3" ht="6" customHeight="1" x14ac:dyDescent="0.2">
      <c r="B6" s="459"/>
      <c r="C6" s="459"/>
    </row>
    <row r="7" spans="2:3" ht="18" x14ac:dyDescent="0.25">
      <c r="B7" s="459"/>
      <c r="C7" s="458" t="s">
        <v>395</v>
      </c>
    </row>
    <row r="8" spans="2:3" ht="31.5" customHeight="1" x14ac:dyDescent="0.25">
      <c r="B8" s="459"/>
      <c r="C8" s="463" t="s">
        <v>420</v>
      </c>
    </row>
    <row r="9" spans="2:3" ht="15.75" customHeight="1" x14ac:dyDescent="0.2"/>
    <row r="10" spans="2:3" ht="18" x14ac:dyDescent="0.25">
      <c r="B10" s="93" t="s">
        <v>101</v>
      </c>
      <c r="C10" s="88"/>
    </row>
    <row r="11" spans="2:3" ht="15.75" x14ac:dyDescent="0.25">
      <c r="B11" s="87"/>
      <c r="C11" s="89" t="s">
        <v>102</v>
      </c>
    </row>
    <row r="12" spans="2:3" ht="15.75" x14ac:dyDescent="0.25">
      <c r="B12" s="87"/>
      <c r="C12" s="90" t="s">
        <v>103</v>
      </c>
    </row>
    <row r="13" spans="2:3" ht="15.75" x14ac:dyDescent="0.25">
      <c r="B13" s="87"/>
      <c r="C13" s="92" t="s">
        <v>291</v>
      </c>
    </row>
    <row r="14" spans="2:3" ht="9" customHeight="1" x14ac:dyDescent="0.25">
      <c r="B14" s="87"/>
      <c r="C14" s="91"/>
    </row>
    <row r="15" spans="2:3" ht="15.75" x14ac:dyDescent="0.25">
      <c r="B15" s="87"/>
      <c r="C15" s="87" t="s">
        <v>304</v>
      </c>
    </row>
    <row r="16" spans="2:3" ht="10.5" customHeight="1" x14ac:dyDescent="0.25">
      <c r="B16" s="87"/>
      <c r="C16" s="88"/>
    </row>
    <row r="17" spans="2:3" s="365" customFormat="1" ht="34.5" customHeight="1" x14ac:dyDescent="0.2">
      <c r="B17" s="364">
        <v>1</v>
      </c>
      <c r="C17" s="366" t="s">
        <v>390</v>
      </c>
    </row>
    <row r="18" spans="2:3" ht="9" customHeight="1" x14ac:dyDescent="0.25">
      <c r="B18" s="94"/>
      <c r="C18" s="88"/>
    </row>
    <row r="19" spans="2:3" ht="15.75" x14ac:dyDescent="0.25">
      <c r="B19" s="94">
        <v>2</v>
      </c>
      <c r="C19" s="88" t="s">
        <v>264</v>
      </c>
    </row>
    <row r="20" spans="2:3" ht="9" customHeight="1" x14ac:dyDescent="0.25">
      <c r="B20" s="94"/>
      <c r="C20" s="88"/>
    </row>
    <row r="21" spans="2:3" ht="15.75" x14ac:dyDescent="0.25">
      <c r="B21" s="94">
        <v>3</v>
      </c>
      <c r="C21" s="88" t="s">
        <v>109</v>
      </c>
    </row>
    <row r="22" spans="2:3" ht="9" customHeight="1" x14ac:dyDescent="0.25">
      <c r="B22" s="94"/>
      <c r="C22" s="88"/>
    </row>
    <row r="23" spans="2:3" ht="15.75" x14ac:dyDescent="0.25">
      <c r="B23" s="94">
        <v>4</v>
      </c>
      <c r="C23" s="88" t="s">
        <v>262</v>
      </c>
    </row>
    <row r="24" spans="2:3" ht="9" customHeight="1" x14ac:dyDescent="0.25">
      <c r="B24" s="94"/>
      <c r="C24" s="88"/>
    </row>
    <row r="25" spans="2:3" ht="15.75" x14ac:dyDescent="0.25">
      <c r="B25" s="94">
        <v>5</v>
      </c>
      <c r="C25" s="88" t="s">
        <v>305</v>
      </c>
    </row>
    <row r="26" spans="2:3" ht="9" customHeight="1" x14ac:dyDescent="0.25">
      <c r="B26" s="94"/>
      <c r="C26" s="88"/>
    </row>
    <row r="27" spans="2:3" ht="15.75" x14ac:dyDescent="0.25">
      <c r="B27" s="94">
        <v>6</v>
      </c>
      <c r="C27" s="88" t="s">
        <v>265</v>
      </c>
    </row>
    <row r="28" spans="2:3" ht="19.5" customHeight="1" x14ac:dyDescent="0.25">
      <c r="B28" s="94"/>
      <c r="C28" s="88" t="s">
        <v>271</v>
      </c>
    </row>
    <row r="29" spans="2:3" ht="15.75" x14ac:dyDescent="0.25">
      <c r="B29" s="94"/>
      <c r="C29" s="88" t="s">
        <v>263</v>
      </c>
    </row>
    <row r="30" spans="2:3" ht="15" x14ac:dyDescent="0.2">
      <c r="C30" s="88" t="s">
        <v>287</v>
      </c>
    </row>
    <row r="31" spans="2:3" ht="9" customHeight="1" x14ac:dyDescent="0.25">
      <c r="B31" s="94"/>
      <c r="C31" s="88"/>
    </row>
    <row r="32" spans="2:3" s="365" customFormat="1" ht="90.75" x14ac:dyDescent="0.2">
      <c r="B32" s="364">
        <v>7</v>
      </c>
      <c r="C32" s="366" t="s">
        <v>327</v>
      </c>
    </row>
    <row r="33" spans="2:3" ht="9" customHeight="1" x14ac:dyDescent="0.25">
      <c r="B33" s="94"/>
      <c r="C33" s="88"/>
    </row>
    <row r="34" spans="2:3" ht="76.5" customHeight="1" x14ac:dyDescent="0.25">
      <c r="B34" s="364">
        <v>8</v>
      </c>
      <c r="C34" s="381" t="s">
        <v>418</v>
      </c>
    </row>
    <row r="35" spans="2:3" ht="9" customHeight="1" x14ac:dyDescent="0.25">
      <c r="B35" s="94"/>
      <c r="C35" s="88"/>
    </row>
    <row r="36" spans="2:3" ht="30" x14ac:dyDescent="0.2">
      <c r="B36" s="364">
        <v>9</v>
      </c>
      <c r="C36" s="381" t="s">
        <v>419</v>
      </c>
    </row>
    <row r="37" spans="2:3" ht="15.75" x14ac:dyDescent="0.25">
      <c r="B37" s="94"/>
      <c r="C37" s="466" t="s">
        <v>400</v>
      </c>
    </row>
  </sheetData>
  <sheetProtection password="C858" sheet="1" objects="1" scenarios="1"/>
  <phoneticPr fontId="13" type="noConversion"/>
  <pageMargins left="0.75" right="0.75" top="1" bottom="1" header="0.5" footer="0.5"/>
  <pageSetup paperSize="9" scale="8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6"/>
  <sheetViews>
    <sheetView workbookViewId="0">
      <selection activeCell="N19" sqref="N19"/>
    </sheetView>
  </sheetViews>
  <sheetFormatPr defaultRowHeight="12.75" x14ac:dyDescent="0.2"/>
  <cols>
    <col min="1" max="1" width="9.85546875" customWidth="1"/>
    <col min="5" max="5" width="13.7109375" customWidth="1"/>
    <col min="7" max="7" width="12.28515625" customWidth="1"/>
    <col min="8" max="8" width="54" style="484" customWidth="1"/>
    <col min="12" max="12" width="9.140625" customWidth="1"/>
  </cols>
  <sheetData>
    <row r="1" spans="1:11" ht="15" x14ac:dyDescent="0.2">
      <c r="A1" s="467" t="s">
        <v>403</v>
      </c>
      <c r="B1" s="468"/>
      <c r="C1" s="468"/>
      <c r="D1" s="468"/>
      <c r="E1" s="468"/>
      <c r="F1" s="468"/>
      <c r="G1" s="468"/>
      <c r="H1" s="479"/>
      <c r="I1" s="468"/>
      <c r="J1" s="468"/>
      <c r="K1" s="468"/>
    </row>
    <row r="2" spans="1:11" ht="18" x14ac:dyDescent="0.25">
      <c r="A2" s="469" t="s">
        <v>409</v>
      </c>
      <c r="B2" s="469"/>
      <c r="C2" s="469"/>
      <c r="D2" s="93"/>
      <c r="E2" s="93"/>
      <c r="F2" s="470"/>
      <c r="G2" s="93"/>
      <c r="H2" s="480" t="s">
        <v>404</v>
      </c>
      <c r="I2" s="471"/>
      <c r="J2" s="471"/>
    </row>
    <row r="3" spans="1:11" x14ac:dyDescent="0.2">
      <c r="A3" s="472" t="s">
        <v>405</v>
      </c>
      <c r="B3" s="472" t="s">
        <v>406</v>
      </c>
      <c r="C3" s="472" t="s">
        <v>37</v>
      </c>
      <c r="D3" s="472" t="s">
        <v>38</v>
      </c>
      <c r="E3" s="274" t="s">
        <v>407</v>
      </c>
      <c r="F3" s="274" t="s">
        <v>179</v>
      </c>
      <c r="G3" s="274" t="s">
        <v>408</v>
      </c>
      <c r="H3" s="481"/>
      <c r="I3" s="471"/>
      <c r="J3" s="471" t="str">
        <f>G3</f>
        <v>DOB</v>
      </c>
    </row>
    <row r="4" spans="1:11" x14ac:dyDescent="0.2">
      <c r="A4" s="332" t="s">
        <v>35</v>
      </c>
      <c r="B4" s="332"/>
      <c r="C4" s="333"/>
      <c r="D4" s="332"/>
      <c r="E4" s="193"/>
      <c r="F4" s="193"/>
      <c r="G4" s="473"/>
      <c r="H4" s="482"/>
      <c r="I4" s="474"/>
      <c r="J4" s="474"/>
    </row>
    <row r="5" spans="1:11" x14ac:dyDescent="0.2">
      <c r="A5" s="332" t="s">
        <v>36</v>
      </c>
      <c r="B5" s="333"/>
      <c r="C5" s="333"/>
      <c r="D5" s="333"/>
      <c r="E5" s="193"/>
      <c r="F5" s="193"/>
      <c r="G5" s="473"/>
      <c r="H5" s="482"/>
      <c r="I5" s="474"/>
      <c r="J5" s="474"/>
    </row>
    <row r="6" spans="1:11" x14ac:dyDescent="0.2">
      <c r="A6" s="472">
        <v>1001</v>
      </c>
      <c r="B6" s="475"/>
      <c r="C6" s="472"/>
      <c r="D6" s="475"/>
      <c r="E6" s="274"/>
      <c r="F6" s="274"/>
      <c r="G6" s="476"/>
      <c r="H6" s="483" t="str">
        <f t="shared" ref="H6:H69" si="0">CONCATENATE(B6," ",C6)</f>
        <v xml:space="preserve"> </v>
      </c>
      <c r="I6" s="471">
        <f t="shared" ref="I6:I69" si="1">A6</f>
        <v>1001</v>
      </c>
      <c r="J6" s="471">
        <f t="shared" ref="J6:J69" si="2">G6</f>
        <v>0</v>
      </c>
      <c r="K6">
        <f t="shared" ref="K6:K69" si="3">LEN(H6)</f>
        <v>1</v>
      </c>
    </row>
    <row r="7" spans="1:11" x14ac:dyDescent="0.2">
      <c r="A7" s="472">
        <v>1002</v>
      </c>
      <c r="B7" s="472"/>
      <c r="C7" s="472"/>
      <c r="D7" s="472"/>
      <c r="E7" s="274"/>
      <c r="F7" s="274"/>
      <c r="G7" s="476"/>
      <c r="H7" s="483" t="str">
        <f t="shared" si="0"/>
        <v xml:space="preserve"> </v>
      </c>
      <c r="I7" s="471">
        <f t="shared" si="1"/>
        <v>1002</v>
      </c>
      <c r="J7" s="471">
        <f t="shared" si="2"/>
        <v>0</v>
      </c>
      <c r="K7">
        <f t="shared" si="3"/>
        <v>1</v>
      </c>
    </row>
    <row r="8" spans="1:11" x14ac:dyDescent="0.2">
      <c r="A8" s="472">
        <v>1003</v>
      </c>
      <c r="B8" s="472"/>
      <c r="C8" s="472"/>
      <c r="D8" s="472"/>
      <c r="E8" s="274"/>
      <c r="F8" s="274"/>
      <c r="G8" s="476"/>
      <c r="H8" s="483" t="str">
        <f t="shared" si="0"/>
        <v xml:space="preserve"> </v>
      </c>
      <c r="I8" s="471">
        <f t="shared" si="1"/>
        <v>1003</v>
      </c>
      <c r="J8" s="471">
        <f t="shared" si="2"/>
        <v>0</v>
      </c>
      <c r="K8">
        <f t="shared" si="3"/>
        <v>1</v>
      </c>
    </row>
    <row r="9" spans="1:11" x14ac:dyDescent="0.2">
      <c r="A9" s="477">
        <v>1004</v>
      </c>
      <c r="B9" s="478"/>
      <c r="C9" s="477"/>
      <c r="D9" s="477"/>
      <c r="E9" s="274"/>
      <c r="F9" s="274"/>
      <c r="G9" s="476"/>
      <c r="H9" s="483" t="str">
        <f t="shared" si="0"/>
        <v xml:space="preserve"> </v>
      </c>
      <c r="I9" s="471">
        <f t="shared" si="1"/>
        <v>1004</v>
      </c>
      <c r="J9" s="471">
        <f t="shared" si="2"/>
        <v>0</v>
      </c>
      <c r="K9">
        <f t="shared" si="3"/>
        <v>1</v>
      </c>
    </row>
    <row r="10" spans="1:11" x14ac:dyDescent="0.2">
      <c r="A10" s="472">
        <v>1005</v>
      </c>
      <c r="B10" s="472"/>
      <c r="C10" s="472"/>
      <c r="D10" s="472"/>
      <c r="E10" s="274"/>
      <c r="F10" s="274"/>
      <c r="G10" s="476"/>
      <c r="H10" s="483" t="str">
        <f t="shared" si="0"/>
        <v xml:space="preserve"> </v>
      </c>
      <c r="I10" s="471">
        <f t="shared" si="1"/>
        <v>1005</v>
      </c>
      <c r="J10" s="471">
        <f t="shared" si="2"/>
        <v>0</v>
      </c>
      <c r="K10">
        <f t="shared" si="3"/>
        <v>1</v>
      </c>
    </row>
    <row r="11" spans="1:11" x14ac:dyDescent="0.2">
      <c r="A11" s="472">
        <v>1006</v>
      </c>
      <c r="B11" s="472"/>
      <c r="C11" s="472"/>
      <c r="D11" s="472"/>
      <c r="E11" s="274"/>
      <c r="F11" s="274"/>
      <c r="G11" s="476"/>
      <c r="H11" s="483" t="str">
        <f t="shared" si="0"/>
        <v xml:space="preserve"> </v>
      </c>
      <c r="I11" s="471">
        <f t="shared" si="1"/>
        <v>1006</v>
      </c>
      <c r="J11" s="471">
        <f t="shared" si="2"/>
        <v>0</v>
      </c>
      <c r="K11">
        <f t="shared" si="3"/>
        <v>1</v>
      </c>
    </row>
    <row r="12" spans="1:11" x14ac:dyDescent="0.2">
      <c r="A12" s="472">
        <v>1007</v>
      </c>
      <c r="B12" s="472"/>
      <c r="C12" s="472"/>
      <c r="D12" s="472"/>
      <c r="E12" s="274"/>
      <c r="F12" s="274"/>
      <c r="G12" s="476"/>
      <c r="H12" s="483" t="str">
        <f t="shared" si="0"/>
        <v xml:space="preserve"> </v>
      </c>
      <c r="I12" s="471">
        <f t="shared" si="1"/>
        <v>1007</v>
      </c>
      <c r="J12" s="471">
        <f t="shared" si="2"/>
        <v>0</v>
      </c>
      <c r="K12">
        <f t="shared" si="3"/>
        <v>1</v>
      </c>
    </row>
    <row r="13" spans="1:11" x14ac:dyDescent="0.2">
      <c r="A13" s="472">
        <v>1008</v>
      </c>
      <c r="B13" s="472"/>
      <c r="C13" s="472"/>
      <c r="D13" s="472"/>
      <c r="E13" s="274"/>
      <c r="F13" s="274"/>
      <c r="G13" s="476"/>
      <c r="H13" s="483" t="str">
        <f t="shared" si="0"/>
        <v xml:space="preserve"> </v>
      </c>
      <c r="I13" s="471">
        <f t="shared" si="1"/>
        <v>1008</v>
      </c>
      <c r="J13" s="471">
        <f t="shared" si="2"/>
        <v>0</v>
      </c>
      <c r="K13">
        <f t="shared" si="3"/>
        <v>1</v>
      </c>
    </row>
    <row r="14" spans="1:11" x14ac:dyDescent="0.2">
      <c r="A14" s="472">
        <v>1009</v>
      </c>
      <c r="B14" s="472"/>
      <c r="C14" s="472"/>
      <c r="D14" s="472"/>
      <c r="E14" s="274"/>
      <c r="F14" s="274"/>
      <c r="G14" s="476"/>
      <c r="H14" s="483" t="str">
        <f t="shared" si="0"/>
        <v xml:space="preserve"> </v>
      </c>
      <c r="I14" s="471">
        <f t="shared" si="1"/>
        <v>1009</v>
      </c>
      <c r="J14" s="471">
        <f t="shared" si="2"/>
        <v>0</v>
      </c>
      <c r="K14">
        <f t="shared" si="3"/>
        <v>1</v>
      </c>
    </row>
    <row r="15" spans="1:11" x14ac:dyDescent="0.2">
      <c r="A15" s="472">
        <v>1010</v>
      </c>
      <c r="B15" s="472"/>
      <c r="C15" s="472"/>
      <c r="D15" s="472"/>
      <c r="E15" s="274"/>
      <c r="F15" s="274"/>
      <c r="G15" s="476"/>
      <c r="H15" s="483" t="str">
        <f t="shared" si="0"/>
        <v xml:space="preserve"> </v>
      </c>
      <c r="I15" s="471">
        <f t="shared" si="1"/>
        <v>1010</v>
      </c>
      <c r="J15" s="471">
        <f t="shared" si="2"/>
        <v>0</v>
      </c>
      <c r="K15">
        <f t="shared" si="3"/>
        <v>1</v>
      </c>
    </row>
    <row r="16" spans="1:11" x14ac:dyDescent="0.2">
      <c r="A16" s="472">
        <v>1011</v>
      </c>
      <c r="B16" s="472"/>
      <c r="C16" s="472"/>
      <c r="D16" s="472"/>
      <c r="E16" s="274"/>
      <c r="F16" s="274"/>
      <c r="G16" s="476"/>
      <c r="H16" s="483" t="str">
        <f t="shared" si="0"/>
        <v xml:space="preserve"> </v>
      </c>
      <c r="I16" s="471">
        <f t="shared" si="1"/>
        <v>1011</v>
      </c>
      <c r="J16" s="471">
        <f t="shared" si="2"/>
        <v>0</v>
      </c>
      <c r="K16">
        <f t="shared" si="3"/>
        <v>1</v>
      </c>
    </row>
    <row r="17" spans="1:11" x14ac:dyDescent="0.2">
      <c r="A17" s="472">
        <v>1012</v>
      </c>
      <c r="B17" s="472"/>
      <c r="C17" s="472"/>
      <c r="D17" s="472"/>
      <c r="E17" s="274"/>
      <c r="F17" s="274"/>
      <c r="G17" s="476"/>
      <c r="H17" s="483" t="str">
        <f t="shared" si="0"/>
        <v xml:space="preserve"> </v>
      </c>
      <c r="I17" s="471">
        <f t="shared" si="1"/>
        <v>1012</v>
      </c>
      <c r="J17" s="471">
        <f t="shared" si="2"/>
        <v>0</v>
      </c>
      <c r="K17">
        <f t="shared" si="3"/>
        <v>1</v>
      </c>
    </row>
    <row r="18" spans="1:11" x14ac:dyDescent="0.2">
      <c r="A18" s="472">
        <v>1013</v>
      </c>
      <c r="B18" s="475" t="s">
        <v>410</v>
      </c>
      <c r="C18" s="472"/>
      <c r="D18" s="472"/>
      <c r="E18" s="274"/>
      <c r="F18" s="274"/>
      <c r="G18" s="476"/>
      <c r="H18" s="483" t="str">
        <f t="shared" si="0"/>
        <v xml:space="preserve">Did Not Shoot </v>
      </c>
      <c r="I18" s="471">
        <f t="shared" si="1"/>
        <v>1013</v>
      </c>
      <c r="J18" s="471">
        <f t="shared" si="2"/>
        <v>0</v>
      </c>
      <c r="K18">
        <f t="shared" si="3"/>
        <v>14</v>
      </c>
    </row>
    <row r="19" spans="1:11" x14ac:dyDescent="0.2">
      <c r="A19" s="472">
        <v>1014</v>
      </c>
      <c r="B19" s="472"/>
      <c r="C19" s="472"/>
      <c r="D19" s="472"/>
      <c r="E19" s="274"/>
      <c r="F19" s="274"/>
      <c r="G19" s="476"/>
      <c r="H19" s="483" t="str">
        <f t="shared" si="0"/>
        <v xml:space="preserve"> </v>
      </c>
      <c r="I19" s="471">
        <f t="shared" si="1"/>
        <v>1014</v>
      </c>
      <c r="J19" s="471">
        <f t="shared" si="2"/>
        <v>0</v>
      </c>
      <c r="K19">
        <f t="shared" si="3"/>
        <v>1</v>
      </c>
    </row>
    <row r="20" spans="1:11" x14ac:dyDescent="0.2">
      <c r="A20" s="472">
        <v>1015</v>
      </c>
      <c r="B20" s="472"/>
      <c r="C20" s="472"/>
      <c r="D20" s="472"/>
      <c r="E20" s="274"/>
      <c r="F20" s="274"/>
      <c r="G20" s="476"/>
      <c r="H20" s="483" t="str">
        <f t="shared" si="0"/>
        <v xml:space="preserve"> </v>
      </c>
      <c r="I20" s="471">
        <f t="shared" si="1"/>
        <v>1015</v>
      </c>
      <c r="J20" s="471">
        <f t="shared" si="2"/>
        <v>0</v>
      </c>
      <c r="K20">
        <f t="shared" si="3"/>
        <v>1</v>
      </c>
    </row>
    <row r="21" spans="1:11" x14ac:dyDescent="0.2">
      <c r="A21" s="472">
        <v>1016</v>
      </c>
      <c r="B21" s="472"/>
      <c r="C21" s="472"/>
      <c r="D21" s="472"/>
      <c r="E21" s="274"/>
      <c r="F21" s="274"/>
      <c r="G21" s="476"/>
      <c r="H21" s="483" t="str">
        <f t="shared" si="0"/>
        <v xml:space="preserve"> </v>
      </c>
      <c r="I21" s="471">
        <f t="shared" si="1"/>
        <v>1016</v>
      </c>
      <c r="J21" s="471">
        <f t="shared" si="2"/>
        <v>0</v>
      </c>
      <c r="K21">
        <f t="shared" si="3"/>
        <v>1</v>
      </c>
    </row>
    <row r="22" spans="1:11" x14ac:dyDescent="0.2">
      <c r="A22" s="472">
        <v>1017</v>
      </c>
      <c r="B22" s="472"/>
      <c r="C22" s="472"/>
      <c r="D22" s="472"/>
      <c r="E22" s="274"/>
      <c r="F22" s="274"/>
      <c r="G22" s="476"/>
      <c r="H22" s="483" t="str">
        <f t="shared" si="0"/>
        <v xml:space="preserve"> </v>
      </c>
      <c r="I22" s="471">
        <f t="shared" si="1"/>
        <v>1017</v>
      </c>
      <c r="J22" s="471">
        <f t="shared" si="2"/>
        <v>0</v>
      </c>
      <c r="K22">
        <f t="shared" si="3"/>
        <v>1</v>
      </c>
    </row>
    <row r="23" spans="1:11" x14ac:dyDescent="0.2">
      <c r="A23" s="472">
        <v>1018</v>
      </c>
      <c r="B23" s="472"/>
      <c r="C23" s="472"/>
      <c r="D23" s="472"/>
      <c r="E23" s="274"/>
      <c r="F23" s="274"/>
      <c r="G23" s="476"/>
      <c r="H23" s="483" t="str">
        <f t="shared" si="0"/>
        <v xml:space="preserve"> </v>
      </c>
      <c r="I23" s="471">
        <f t="shared" si="1"/>
        <v>1018</v>
      </c>
      <c r="J23" s="471">
        <f t="shared" si="2"/>
        <v>0</v>
      </c>
      <c r="K23">
        <f t="shared" si="3"/>
        <v>1</v>
      </c>
    </row>
    <row r="24" spans="1:11" x14ac:dyDescent="0.2">
      <c r="A24" s="472">
        <v>1019</v>
      </c>
      <c r="B24" s="472"/>
      <c r="C24" s="472"/>
      <c r="D24" s="472"/>
      <c r="E24" s="274"/>
      <c r="F24" s="274"/>
      <c r="G24" s="476"/>
      <c r="H24" s="483" t="str">
        <f t="shared" si="0"/>
        <v xml:space="preserve"> </v>
      </c>
      <c r="I24" s="471">
        <f t="shared" si="1"/>
        <v>1019</v>
      </c>
      <c r="J24" s="471">
        <f t="shared" si="2"/>
        <v>0</v>
      </c>
      <c r="K24">
        <f t="shared" si="3"/>
        <v>1</v>
      </c>
    </row>
    <row r="25" spans="1:11" x14ac:dyDescent="0.2">
      <c r="A25" s="472">
        <v>1020</v>
      </c>
      <c r="B25" s="472"/>
      <c r="C25" s="472"/>
      <c r="D25" s="472"/>
      <c r="E25" s="274"/>
      <c r="F25" s="274"/>
      <c r="G25" s="476"/>
      <c r="H25" s="483" t="str">
        <f t="shared" si="0"/>
        <v xml:space="preserve"> </v>
      </c>
      <c r="I25" s="471">
        <f t="shared" si="1"/>
        <v>1020</v>
      </c>
      <c r="J25" s="471">
        <f t="shared" si="2"/>
        <v>0</v>
      </c>
      <c r="K25">
        <f t="shared" si="3"/>
        <v>1</v>
      </c>
    </row>
    <row r="26" spans="1:11" x14ac:dyDescent="0.2">
      <c r="A26" s="472">
        <v>1021</v>
      </c>
      <c r="B26" s="472"/>
      <c r="C26" s="472"/>
      <c r="D26" s="472"/>
      <c r="E26" s="274"/>
      <c r="F26" s="274"/>
      <c r="G26" s="476"/>
      <c r="H26" s="483" t="str">
        <f t="shared" si="0"/>
        <v xml:space="preserve"> </v>
      </c>
      <c r="I26" s="471">
        <f t="shared" si="1"/>
        <v>1021</v>
      </c>
      <c r="J26" s="471">
        <f t="shared" si="2"/>
        <v>0</v>
      </c>
      <c r="K26">
        <f t="shared" si="3"/>
        <v>1</v>
      </c>
    </row>
    <row r="27" spans="1:11" x14ac:dyDescent="0.2">
      <c r="A27" s="472">
        <v>1022</v>
      </c>
      <c r="B27" s="472"/>
      <c r="C27" s="472"/>
      <c r="D27" s="472"/>
      <c r="E27" s="274"/>
      <c r="F27" s="274"/>
      <c r="G27" s="476"/>
      <c r="H27" s="483" t="str">
        <f t="shared" si="0"/>
        <v xml:space="preserve"> </v>
      </c>
      <c r="I27" s="471">
        <f t="shared" si="1"/>
        <v>1022</v>
      </c>
      <c r="J27" s="471">
        <f t="shared" si="2"/>
        <v>0</v>
      </c>
      <c r="K27">
        <f t="shared" si="3"/>
        <v>1</v>
      </c>
    </row>
    <row r="28" spans="1:11" x14ac:dyDescent="0.2">
      <c r="A28" s="472">
        <v>1023</v>
      </c>
      <c r="B28" s="472"/>
      <c r="C28" s="472"/>
      <c r="D28" s="472"/>
      <c r="E28" s="274"/>
      <c r="F28" s="274"/>
      <c r="G28" s="476"/>
      <c r="H28" s="483" t="str">
        <f t="shared" si="0"/>
        <v xml:space="preserve"> </v>
      </c>
      <c r="I28" s="471">
        <f t="shared" si="1"/>
        <v>1023</v>
      </c>
      <c r="J28" s="471">
        <f t="shared" si="2"/>
        <v>0</v>
      </c>
      <c r="K28">
        <f t="shared" si="3"/>
        <v>1</v>
      </c>
    </row>
    <row r="29" spans="1:11" x14ac:dyDescent="0.2">
      <c r="A29" s="472">
        <v>1024</v>
      </c>
      <c r="B29" s="475"/>
      <c r="C29" s="472"/>
      <c r="D29" s="472"/>
      <c r="E29" s="274"/>
      <c r="F29" s="274"/>
      <c r="G29" s="476"/>
      <c r="H29" s="483" t="str">
        <f t="shared" si="0"/>
        <v xml:space="preserve"> </v>
      </c>
      <c r="I29" s="471">
        <f t="shared" si="1"/>
        <v>1024</v>
      </c>
      <c r="J29" s="471">
        <f t="shared" si="2"/>
        <v>0</v>
      </c>
      <c r="K29">
        <f t="shared" si="3"/>
        <v>1</v>
      </c>
    </row>
    <row r="30" spans="1:11" x14ac:dyDescent="0.2">
      <c r="A30" s="472">
        <v>1025</v>
      </c>
      <c r="B30" s="472"/>
      <c r="C30" s="472"/>
      <c r="D30" s="472"/>
      <c r="E30" s="274"/>
      <c r="F30" s="274"/>
      <c r="G30" s="476"/>
      <c r="H30" s="483" t="str">
        <f t="shared" si="0"/>
        <v xml:space="preserve"> </v>
      </c>
      <c r="I30" s="471">
        <f t="shared" si="1"/>
        <v>1025</v>
      </c>
      <c r="J30" s="471">
        <f t="shared" si="2"/>
        <v>0</v>
      </c>
      <c r="K30">
        <f t="shared" si="3"/>
        <v>1</v>
      </c>
    </row>
    <row r="31" spans="1:11" x14ac:dyDescent="0.2">
      <c r="A31" s="472">
        <v>1026</v>
      </c>
      <c r="B31" s="472"/>
      <c r="C31" s="472"/>
      <c r="D31" s="472"/>
      <c r="E31" s="274"/>
      <c r="F31" s="274"/>
      <c r="G31" s="476"/>
      <c r="H31" s="483" t="str">
        <f t="shared" si="0"/>
        <v xml:space="preserve"> </v>
      </c>
      <c r="I31" s="471">
        <f t="shared" si="1"/>
        <v>1026</v>
      </c>
      <c r="J31" s="471">
        <f t="shared" si="2"/>
        <v>0</v>
      </c>
      <c r="K31">
        <f t="shared" si="3"/>
        <v>1</v>
      </c>
    </row>
    <row r="32" spans="1:11" x14ac:dyDescent="0.2">
      <c r="A32" s="472">
        <v>1027</v>
      </c>
      <c r="B32" s="472"/>
      <c r="C32" s="472"/>
      <c r="D32" s="472"/>
      <c r="E32" s="274"/>
      <c r="F32" s="274"/>
      <c r="G32" s="476"/>
      <c r="H32" s="483" t="str">
        <f t="shared" si="0"/>
        <v xml:space="preserve"> </v>
      </c>
      <c r="I32" s="471">
        <f t="shared" si="1"/>
        <v>1027</v>
      </c>
      <c r="J32" s="471">
        <f t="shared" si="2"/>
        <v>0</v>
      </c>
      <c r="K32">
        <f t="shared" si="3"/>
        <v>1</v>
      </c>
    </row>
    <row r="33" spans="1:11" x14ac:dyDescent="0.2">
      <c r="A33" s="472">
        <v>1028</v>
      </c>
      <c r="B33" s="472"/>
      <c r="C33" s="472"/>
      <c r="D33" s="472"/>
      <c r="E33" s="274"/>
      <c r="F33" s="274"/>
      <c r="G33" s="476"/>
      <c r="H33" s="483" t="str">
        <f t="shared" si="0"/>
        <v xml:space="preserve"> </v>
      </c>
      <c r="I33" s="471">
        <f t="shared" si="1"/>
        <v>1028</v>
      </c>
      <c r="J33" s="471">
        <f t="shared" si="2"/>
        <v>0</v>
      </c>
      <c r="K33">
        <f t="shared" si="3"/>
        <v>1</v>
      </c>
    </row>
    <row r="34" spans="1:11" x14ac:dyDescent="0.2">
      <c r="A34" s="472">
        <v>1029</v>
      </c>
      <c r="B34" s="472"/>
      <c r="C34" s="472"/>
      <c r="D34" s="472"/>
      <c r="E34" s="274"/>
      <c r="F34" s="274"/>
      <c r="G34" s="476"/>
      <c r="H34" s="483" t="str">
        <f t="shared" si="0"/>
        <v xml:space="preserve"> </v>
      </c>
      <c r="I34" s="471">
        <f t="shared" si="1"/>
        <v>1029</v>
      </c>
      <c r="J34" s="471">
        <f t="shared" si="2"/>
        <v>0</v>
      </c>
      <c r="K34">
        <f t="shared" si="3"/>
        <v>1</v>
      </c>
    </row>
    <row r="35" spans="1:11" x14ac:dyDescent="0.2">
      <c r="A35" s="472">
        <v>1030</v>
      </c>
      <c r="B35" s="472"/>
      <c r="C35" s="472"/>
      <c r="D35" s="472"/>
      <c r="E35" s="274"/>
      <c r="F35" s="274"/>
      <c r="G35" s="476"/>
      <c r="H35" s="483" t="str">
        <f t="shared" si="0"/>
        <v xml:space="preserve"> </v>
      </c>
      <c r="I35" s="471">
        <f t="shared" si="1"/>
        <v>1030</v>
      </c>
      <c r="J35" s="471">
        <f t="shared" si="2"/>
        <v>0</v>
      </c>
      <c r="K35">
        <f t="shared" si="3"/>
        <v>1</v>
      </c>
    </row>
    <row r="36" spans="1:11" x14ac:dyDescent="0.2">
      <c r="A36" s="472">
        <v>1031</v>
      </c>
      <c r="B36" s="472"/>
      <c r="C36" s="472"/>
      <c r="D36" s="472"/>
      <c r="E36" s="274"/>
      <c r="F36" s="274"/>
      <c r="G36" s="476"/>
      <c r="H36" s="483" t="str">
        <f t="shared" si="0"/>
        <v xml:space="preserve"> </v>
      </c>
      <c r="I36" s="471">
        <f t="shared" si="1"/>
        <v>1031</v>
      </c>
      <c r="J36" s="471">
        <f t="shared" si="2"/>
        <v>0</v>
      </c>
      <c r="K36">
        <f t="shared" si="3"/>
        <v>1</v>
      </c>
    </row>
    <row r="37" spans="1:11" x14ac:dyDescent="0.2">
      <c r="A37" s="472">
        <v>1032</v>
      </c>
      <c r="B37" s="472"/>
      <c r="C37" s="472"/>
      <c r="D37" s="472"/>
      <c r="E37" s="274"/>
      <c r="F37" s="274"/>
      <c r="G37" s="476"/>
      <c r="H37" s="483" t="str">
        <f t="shared" si="0"/>
        <v xml:space="preserve"> </v>
      </c>
      <c r="I37" s="471">
        <f t="shared" si="1"/>
        <v>1032</v>
      </c>
      <c r="J37" s="471">
        <f t="shared" si="2"/>
        <v>0</v>
      </c>
      <c r="K37">
        <f t="shared" si="3"/>
        <v>1</v>
      </c>
    </row>
    <row r="38" spans="1:11" x14ac:dyDescent="0.2">
      <c r="A38" s="472">
        <v>1033</v>
      </c>
      <c r="B38" s="472"/>
      <c r="C38" s="472"/>
      <c r="D38" s="472"/>
      <c r="E38" s="274"/>
      <c r="F38" s="274"/>
      <c r="G38" s="476"/>
      <c r="H38" s="483" t="str">
        <f t="shared" si="0"/>
        <v xml:space="preserve"> </v>
      </c>
      <c r="I38" s="471">
        <f t="shared" si="1"/>
        <v>1033</v>
      </c>
      <c r="J38" s="471">
        <f t="shared" si="2"/>
        <v>0</v>
      </c>
      <c r="K38">
        <f t="shared" si="3"/>
        <v>1</v>
      </c>
    </row>
    <row r="39" spans="1:11" x14ac:dyDescent="0.2">
      <c r="A39" s="472">
        <v>1034</v>
      </c>
      <c r="B39" s="472"/>
      <c r="C39" s="472"/>
      <c r="D39" s="472"/>
      <c r="E39" s="274"/>
      <c r="F39" s="274"/>
      <c r="G39" s="476"/>
      <c r="H39" s="483" t="str">
        <f t="shared" si="0"/>
        <v xml:space="preserve"> </v>
      </c>
      <c r="I39" s="471">
        <f t="shared" si="1"/>
        <v>1034</v>
      </c>
      <c r="J39" s="471">
        <f t="shared" si="2"/>
        <v>0</v>
      </c>
      <c r="K39">
        <f t="shared" si="3"/>
        <v>1</v>
      </c>
    </row>
    <row r="40" spans="1:11" x14ac:dyDescent="0.2">
      <c r="A40" s="472">
        <v>1035</v>
      </c>
      <c r="B40" s="472"/>
      <c r="C40" s="472"/>
      <c r="D40" s="472"/>
      <c r="E40" s="274"/>
      <c r="F40" s="274"/>
      <c r="G40" s="476"/>
      <c r="H40" s="483" t="str">
        <f t="shared" si="0"/>
        <v xml:space="preserve"> </v>
      </c>
      <c r="I40" s="471">
        <f t="shared" si="1"/>
        <v>1035</v>
      </c>
      <c r="J40" s="471">
        <f t="shared" si="2"/>
        <v>0</v>
      </c>
      <c r="K40">
        <f t="shared" si="3"/>
        <v>1</v>
      </c>
    </row>
    <row r="41" spans="1:11" x14ac:dyDescent="0.2">
      <c r="A41" s="472">
        <v>1036</v>
      </c>
      <c r="B41" s="472"/>
      <c r="C41" s="472"/>
      <c r="D41" s="472"/>
      <c r="E41" s="274"/>
      <c r="F41" s="274"/>
      <c r="G41" s="476"/>
      <c r="H41" s="483" t="str">
        <f t="shared" si="0"/>
        <v xml:space="preserve"> </v>
      </c>
      <c r="I41" s="471">
        <f t="shared" si="1"/>
        <v>1036</v>
      </c>
      <c r="J41" s="471">
        <f t="shared" si="2"/>
        <v>0</v>
      </c>
      <c r="K41">
        <f t="shared" si="3"/>
        <v>1</v>
      </c>
    </row>
    <row r="42" spans="1:11" x14ac:dyDescent="0.2">
      <c r="A42" s="472">
        <v>1037</v>
      </c>
      <c r="B42" s="472"/>
      <c r="C42" s="472"/>
      <c r="D42" s="472"/>
      <c r="E42" s="274"/>
      <c r="F42" s="274"/>
      <c r="G42" s="476"/>
      <c r="H42" s="483" t="str">
        <f t="shared" si="0"/>
        <v xml:space="preserve"> </v>
      </c>
      <c r="I42" s="471">
        <f t="shared" si="1"/>
        <v>1037</v>
      </c>
      <c r="J42" s="471">
        <f t="shared" si="2"/>
        <v>0</v>
      </c>
      <c r="K42">
        <f t="shared" si="3"/>
        <v>1</v>
      </c>
    </row>
    <row r="43" spans="1:11" x14ac:dyDescent="0.2">
      <c r="A43" s="472">
        <v>1038</v>
      </c>
      <c r="B43" s="472"/>
      <c r="C43" s="472"/>
      <c r="D43" s="472"/>
      <c r="E43" s="274"/>
      <c r="F43" s="274"/>
      <c r="G43" s="476"/>
      <c r="H43" s="483" t="str">
        <f t="shared" si="0"/>
        <v xml:space="preserve"> </v>
      </c>
      <c r="I43" s="471">
        <f t="shared" si="1"/>
        <v>1038</v>
      </c>
      <c r="J43" s="471">
        <f t="shared" si="2"/>
        <v>0</v>
      </c>
      <c r="K43">
        <f t="shared" si="3"/>
        <v>1</v>
      </c>
    </row>
    <row r="44" spans="1:11" x14ac:dyDescent="0.2">
      <c r="A44" s="472">
        <v>1039</v>
      </c>
      <c r="B44" s="472"/>
      <c r="C44" s="472"/>
      <c r="D44" s="472"/>
      <c r="E44" s="274"/>
      <c r="F44" s="274"/>
      <c r="G44" s="476"/>
      <c r="H44" s="483" t="str">
        <f t="shared" si="0"/>
        <v xml:space="preserve"> </v>
      </c>
      <c r="I44" s="471">
        <f t="shared" si="1"/>
        <v>1039</v>
      </c>
      <c r="J44" s="471">
        <f t="shared" si="2"/>
        <v>0</v>
      </c>
      <c r="K44">
        <f t="shared" si="3"/>
        <v>1</v>
      </c>
    </row>
    <row r="45" spans="1:11" x14ac:dyDescent="0.2">
      <c r="A45" s="472">
        <v>1040</v>
      </c>
      <c r="B45" s="472"/>
      <c r="C45" s="472"/>
      <c r="D45" s="472"/>
      <c r="E45" s="274"/>
      <c r="F45" s="274"/>
      <c r="G45" s="476"/>
      <c r="H45" s="483" t="str">
        <f t="shared" si="0"/>
        <v xml:space="preserve"> </v>
      </c>
      <c r="I45" s="471">
        <f t="shared" si="1"/>
        <v>1040</v>
      </c>
      <c r="J45" s="471">
        <f t="shared" si="2"/>
        <v>0</v>
      </c>
      <c r="K45">
        <f t="shared" si="3"/>
        <v>1</v>
      </c>
    </row>
    <row r="46" spans="1:11" x14ac:dyDescent="0.2">
      <c r="A46" s="472">
        <v>1041</v>
      </c>
      <c r="B46" s="472"/>
      <c r="C46" s="472"/>
      <c r="D46" s="472"/>
      <c r="E46" s="274"/>
      <c r="F46" s="274"/>
      <c r="G46" s="476"/>
      <c r="H46" s="483" t="str">
        <f t="shared" si="0"/>
        <v xml:space="preserve"> </v>
      </c>
      <c r="I46" s="471">
        <f t="shared" si="1"/>
        <v>1041</v>
      </c>
      <c r="J46" s="471">
        <f t="shared" si="2"/>
        <v>0</v>
      </c>
      <c r="K46">
        <f t="shared" si="3"/>
        <v>1</v>
      </c>
    </row>
    <row r="47" spans="1:11" x14ac:dyDescent="0.2">
      <c r="A47" s="472">
        <v>1042</v>
      </c>
      <c r="B47" s="472"/>
      <c r="C47" s="472"/>
      <c r="D47" s="472"/>
      <c r="E47" s="274"/>
      <c r="F47" s="274"/>
      <c r="G47" s="476"/>
      <c r="H47" s="483" t="str">
        <f t="shared" si="0"/>
        <v xml:space="preserve"> </v>
      </c>
      <c r="I47" s="471">
        <f t="shared" si="1"/>
        <v>1042</v>
      </c>
      <c r="J47" s="471">
        <f t="shared" si="2"/>
        <v>0</v>
      </c>
      <c r="K47">
        <f t="shared" si="3"/>
        <v>1</v>
      </c>
    </row>
    <row r="48" spans="1:11" x14ac:dyDescent="0.2">
      <c r="A48" s="472">
        <v>1043</v>
      </c>
      <c r="B48" s="472"/>
      <c r="C48" s="472"/>
      <c r="D48" s="472"/>
      <c r="E48" s="274"/>
      <c r="F48" s="274"/>
      <c r="G48" s="476"/>
      <c r="H48" s="483" t="str">
        <f t="shared" si="0"/>
        <v xml:space="preserve"> </v>
      </c>
      <c r="I48" s="471">
        <f t="shared" si="1"/>
        <v>1043</v>
      </c>
      <c r="J48" s="471">
        <f t="shared" si="2"/>
        <v>0</v>
      </c>
      <c r="K48">
        <f t="shared" si="3"/>
        <v>1</v>
      </c>
    </row>
    <row r="49" spans="1:11" x14ac:dyDescent="0.2">
      <c r="A49" s="472">
        <v>1044</v>
      </c>
      <c r="B49" s="472"/>
      <c r="C49" s="472"/>
      <c r="D49" s="472"/>
      <c r="E49" s="274"/>
      <c r="F49" s="274"/>
      <c r="G49" s="476"/>
      <c r="H49" s="483" t="str">
        <f t="shared" si="0"/>
        <v xml:space="preserve"> </v>
      </c>
      <c r="I49" s="471">
        <f t="shared" si="1"/>
        <v>1044</v>
      </c>
      <c r="J49" s="471">
        <f t="shared" si="2"/>
        <v>0</v>
      </c>
      <c r="K49">
        <f t="shared" si="3"/>
        <v>1</v>
      </c>
    </row>
    <row r="50" spans="1:11" x14ac:dyDescent="0.2">
      <c r="A50" s="472">
        <v>1045</v>
      </c>
      <c r="B50" s="472"/>
      <c r="C50" s="472"/>
      <c r="D50" s="472"/>
      <c r="E50" s="274"/>
      <c r="F50" s="274"/>
      <c r="G50" s="476"/>
      <c r="H50" s="483" t="str">
        <f t="shared" si="0"/>
        <v xml:space="preserve"> </v>
      </c>
      <c r="I50" s="471">
        <f t="shared" si="1"/>
        <v>1045</v>
      </c>
      <c r="J50" s="471">
        <f t="shared" si="2"/>
        <v>0</v>
      </c>
      <c r="K50">
        <f t="shared" si="3"/>
        <v>1</v>
      </c>
    </row>
    <row r="51" spans="1:11" x14ac:dyDescent="0.2">
      <c r="A51" s="472">
        <v>1046</v>
      </c>
      <c r="B51" s="472"/>
      <c r="C51" s="472"/>
      <c r="D51" s="472"/>
      <c r="E51" s="274"/>
      <c r="F51" s="274"/>
      <c r="G51" s="476"/>
      <c r="H51" s="483" t="str">
        <f t="shared" si="0"/>
        <v xml:space="preserve"> </v>
      </c>
      <c r="I51" s="471">
        <f t="shared" si="1"/>
        <v>1046</v>
      </c>
      <c r="J51" s="471">
        <f t="shared" si="2"/>
        <v>0</v>
      </c>
      <c r="K51">
        <f t="shared" si="3"/>
        <v>1</v>
      </c>
    </row>
    <row r="52" spans="1:11" x14ac:dyDescent="0.2">
      <c r="A52" s="472">
        <v>1047</v>
      </c>
      <c r="B52" s="472"/>
      <c r="C52" s="472"/>
      <c r="D52" s="472"/>
      <c r="E52" s="274"/>
      <c r="F52" s="274"/>
      <c r="G52" s="476"/>
      <c r="H52" s="483" t="str">
        <f t="shared" si="0"/>
        <v xml:space="preserve"> </v>
      </c>
      <c r="I52" s="471">
        <f t="shared" si="1"/>
        <v>1047</v>
      </c>
      <c r="J52" s="471">
        <f t="shared" si="2"/>
        <v>0</v>
      </c>
      <c r="K52">
        <f t="shared" si="3"/>
        <v>1</v>
      </c>
    </row>
    <row r="53" spans="1:11" x14ac:dyDescent="0.2">
      <c r="A53" s="472">
        <v>1048</v>
      </c>
      <c r="B53" s="472"/>
      <c r="C53" s="472"/>
      <c r="D53" s="472"/>
      <c r="E53" s="274"/>
      <c r="F53" s="274"/>
      <c r="G53" s="476"/>
      <c r="H53" s="483" t="str">
        <f t="shared" si="0"/>
        <v xml:space="preserve"> </v>
      </c>
      <c r="I53" s="471">
        <f t="shared" si="1"/>
        <v>1048</v>
      </c>
      <c r="J53" s="471">
        <f t="shared" si="2"/>
        <v>0</v>
      </c>
      <c r="K53">
        <f t="shared" si="3"/>
        <v>1</v>
      </c>
    </row>
    <row r="54" spans="1:11" x14ac:dyDescent="0.2">
      <c r="A54" s="472">
        <v>1049</v>
      </c>
      <c r="B54" s="472"/>
      <c r="C54" s="472"/>
      <c r="D54" s="472"/>
      <c r="E54" s="274"/>
      <c r="F54" s="274"/>
      <c r="G54" s="476"/>
      <c r="H54" s="483" t="str">
        <f t="shared" si="0"/>
        <v xml:space="preserve"> </v>
      </c>
      <c r="I54" s="471">
        <f t="shared" si="1"/>
        <v>1049</v>
      </c>
      <c r="J54" s="471">
        <f t="shared" si="2"/>
        <v>0</v>
      </c>
      <c r="K54">
        <f t="shared" si="3"/>
        <v>1</v>
      </c>
    </row>
    <row r="55" spans="1:11" x14ac:dyDescent="0.2">
      <c r="A55" s="472">
        <v>1050</v>
      </c>
      <c r="B55" s="472"/>
      <c r="C55" s="472"/>
      <c r="D55" s="472"/>
      <c r="E55" s="274"/>
      <c r="F55" s="274"/>
      <c r="G55" s="476"/>
      <c r="H55" s="483" t="str">
        <f t="shared" si="0"/>
        <v xml:space="preserve"> </v>
      </c>
      <c r="I55" s="471">
        <f t="shared" si="1"/>
        <v>1050</v>
      </c>
      <c r="J55" s="471">
        <f t="shared" si="2"/>
        <v>0</v>
      </c>
      <c r="K55">
        <f t="shared" si="3"/>
        <v>1</v>
      </c>
    </row>
    <row r="56" spans="1:11" x14ac:dyDescent="0.2">
      <c r="A56" s="472">
        <v>1051</v>
      </c>
      <c r="B56" s="472"/>
      <c r="C56" s="472"/>
      <c r="D56" s="472"/>
      <c r="E56" s="274"/>
      <c r="F56" s="274"/>
      <c r="G56" s="476"/>
      <c r="H56" s="483" t="str">
        <f t="shared" si="0"/>
        <v xml:space="preserve"> </v>
      </c>
      <c r="I56" s="471">
        <f t="shared" si="1"/>
        <v>1051</v>
      </c>
      <c r="J56" s="471">
        <f t="shared" si="2"/>
        <v>0</v>
      </c>
      <c r="K56">
        <f t="shared" si="3"/>
        <v>1</v>
      </c>
    </row>
    <row r="57" spans="1:11" x14ac:dyDescent="0.2">
      <c r="A57" s="472">
        <v>1052</v>
      </c>
      <c r="B57" s="472"/>
      <c r="C57" s="472"/>
      <c r="D57" s="472"/>
      <c r="E57" s="274"/>
      <c r="F57" s="274"/>
      <c r="G57" s="476"/>
      <c r="H57" s="483" t="str">
        <f t="shared" si="0"/>
        <v xml:space="preserve"> </v>
      </c>
      <c r="I57" s="471">
        <f t="shared" si="1"/>
        <v>1052</v>
      </c>
      <c r="J57" s="471">
        <f t="shared" si="2"/>
        <v>0</v>
      </c>
      <c r="K57">
        <f t="shared" si="3"/>
        <v>1</v>
      </c>
    </row>
    <row r="58" spans="1:11" x14ac:dyDescent="0.2">
      <c r="A58" s="472">
        <v>1053</v>
      </c>
      <c r="B58" s="472"/>
      <c r="C58" s="472"/>
      <c r="D58" s="472"/>
      <c r="E58" s="274"/>
      <c r="F58" s="274"/>
      <c r="G58" s="476"/>
      <c r="H58" s="483" t="str">
        <f t="shared" si="0"/>
        <v xml:space="preserve"> </v>
      </c>
      <c r="I58" s="471">
        <f t="shared" si="1"/>
        <v>1053</v>
      </c>
      <c r="J58" s="471">
        <f t="shared" si="2"/>
        <v>0</v>
      </c>
      <c r="K58">
        <f t="shared" si="3"/>
        <v>1</v>
      </c>
    </row>
    <row r="59" spans="1:11" x14ac:dyDescent="0.2">
      <c r="A59" s="472">
        <v>1054</v>
      </c>
      <c r="B59" s="472"/>
      <c r="C59" s="472"/>
      <c r="D59" s="472"/>
      <c r="E59" s="274"/>
      <c r="F59" s="274"/>
      <c r="G59" s="476"/>
      <c r="H59" s="483" t="str">
        <f t="shared" si="0"/>
        <v xml:space="preserve"> </v>
      </c>
      <c r="I59" s="471">
        <f t="shared" si="1"/>
        <v>1054</v>
      </c>
      <c r="J59" s="471">
        <f t="shared" si="2"/>
        <v>0</v>
      </c>
      <c r="K59">
        <f t="shared" si="3"/>
        <v>1</v>
      </c>
    </row>
    <row r="60" spans="1:11" x14ac:dyDescent="0.2">
      <c r="A60" s="472">
        <v>1055</v>
      </c>
      <c r="B60" s="472"/>
      <c r="C60" s="472"/>
      <c r="D60" s="472"/>
      <c r="E60" s="274"/>
      <c r="F60" s="274"/>
      <c r="G60" s="476"/>
      <c r="H60" s="483" t="str">
        <f t="shared" si="0"/>
        <v xml:space="preserve"> </v>
      </c>
      <c r="I60" s="471">
        <f t="shared" si="1"/>
        <v>1055</v>
      </c>
      <c r="J60" s="471">
        <f t="shared" si="2"/>
        <v>0</v>
      </c>
      <c r="K60">
        <f t="shared" si="3"/>
        <v>1</v>
      </c>
    </row>
    <row r="61" spans="1:11" x14ac:dyDescent="0.2">
      <c r="A61" s="472">
        <v>1056</v>
      </c>
      <c r="B61" s="472"/>
      <c r="C61" s="472"/>
      <c r="D61" s="472"/>
      <c r="E61" s="274"/>
      <c r="F61" s="274"/>
      <c r="G61" s="476"/>
      <c r="H61" s="483" t="str">
        <f t="shared" si="0"/>
        <v xml:space="preserve"> </v>
      </c>
      <c r="I61" s="471">
        <f t="shared" si="1"/>
        <v>1056</v>
      </c>
      <c r="J61" s="471">
        <f t="shared" si="2"/>
        <v>0</v>
      </c>
      <c r="K61">
        <f t="shared" si="3"/>
        <v>1</v>
      </c>
    </row>
    <row r="62" spans="1:11" x14ac:dyDescent="0.2">
      <c r="A62" s="472">
        <v>1057</v>
      </c>
      <c r="B62" s="472"/>
      <c r="C62" s="472"/>
      <c r="D62" s="472"/>
      <c r="E62" s="274"/>
      <c r="F62" s="274"/>
      <c r="G62" s="476"/>
      <c r="H62" s="483" t="str">
        <f t="shared" si="0"/>
        <v xml:space="preserve"> </v>
      </c>
      <c r="I62" s="471">
        <f t="shared" si="1"/>
        <v>1057</v>
      </c>
      <c r="J62" s="471">
        <f t="shared" si="2"/>
        <v>0</v>
      </c>
      <c r="K62">
        <f t="shared" si="3"/>
        <v>1</v>
      </c>
    </row>
    <row r="63" spans="1:11" x14ac:dyDescent="0.2">
      <c r="A63" s="472">
        <v>1058</v>
      </c>
      <c r="B63" s="472"/>
      <c r="C63" s="472"/>
      <c r="D63" s="472"/>
      <c r="E63" s="274"/>
      <c r="F63" s="274"/>
      <c r="G63" s="476"/>
      <c r="H63" s="483" t="str">
        <f t="shared" si="0"/>
        <v xml:space="preserve"> </v>
      </c>
      <c r="I63" s="471">
        <f t="shared" si="1"/>
        <v>1058</v>
      </c>
      <c r="J63" s="471">
        <f t="shared" si="2"/>
        <v>0</v>
      </c>
      <c r="K63">
        <f t="shared" si="3"/>
        <v>1</v>
      </c>
    </row>
    <row r="64" spans="1:11" x14ac:dyDescent="0.2">
      <c r="A64" s="472">
        <v>1059</v>
      </c>
      <c r="B64" s="472"/>
      <c r="C64" s="472"/>
      <c r="D64" s="472"/>
      <c r="E64" s="274"/>
      <c r="F64" s="274"/>
      <c r="G64" s="476"/>
      <c r="H64" s="483" t="str">
        <f t="shared" si="0"/>
        <v xml:space="preserve"> </v>
      </c>
      <c r="I64" s="471">
        <f t="shared" si="1"/>
        <v>1059</v>
      </c>
      <c r="J64" s="471">
        <f t="shared" si="2"/>
        <v>0</v>
      </c>
      <c r="K64">
        <f t="shared" si="3"/>
        <v>1</v>
      </c>
    </row>
    <row r="65" spans="1:11" x14ac:dyDescent="0.2">
      <c r="A65" s="472">
        <v>1060</v>
      </c>
      <c r="B65" s="472"/>
      <c r="C65" s="472"/>
      <c r="D65" s="472"/>
      <c r="E65" s="274"/>
      <c r="F65" s="274"/>
      <c r="G65" s="476"/>
      <c r="H65" s="483" t="str">
        <f t="shared" si="0"/>
        <v xml:space="preserve"> </v>
      </c>
      <c r="I65" s="471">
        <f t="shared" si="1"/>
        <v>1060</v>
      </c>
      <c r="J65" s="471">
        <f t="shared" si="2"/>
        <v>0</v>
      </c>
      <c r="K65">
        <f t="shared" si="3"/>
        <v>1</v>
      </c>
    </row>
    <row r="66" spans="1:11" x14ac:dyDescent="0.2">
      <c r="A66" s="472">
        <v>1061</v>
      </c>
      <c r="B66" s="472"/>
      <c r="C66" s="472"/>
      <c r="D66" s="472"/>
      <c r="E66" s="274"/>
      <c r="F66" s="274"/>
      <c r="G66" s="476"/>
      <c r="H66" s="483" t="str">
        <f t="shared" si="0"/>
        <v xml:space="preserve"> </v>
      </c>
      <c r="I66" s="471">
        <f t="shared" si="1"/>
        <v>1061</v>
      </c>
      <c r="J66" s="471">
        <f t="shared" si="2"/>
        <v>0</v>
      </c>
      <c r="K66">
        <f t="shared" si="3"/>
        <v>1</v>
      </c>
    </row>
    <row r="67" spans="1:11" x14ac:dyDescent="0.2">
      <c r="A67" s="472">
        <v>1062</v>
      </c>
      <c r="B67" s="472"/>
      <c r="C67" s="472"/>
      <c r="D67" s="472"/>
      <c r="E67" s="274"/>
      <c r="F67" s="274"/>
      <c r="G67" s="476"/>
      <c r="H67" s="483" t="str">
        <f t="shared" si="0"/>
        <v xml:space="preserve"> </v>
      </c>
      <c r="I67" s="471">
        <f t="shared" si="1"/>
        <v>1062</v>
      </c>
      <c r="J67" s="471">
        <f t="shared" si="2"/>
        <v>0</v>
      </c>
      <c r="K67">
        <f t="shared" si="3"/>
        <v>1</v>
      </c>
    </row>
    <row r="68" spans="1:11" x14ac:dyDescent="0.2">
      <c r="A68" s="472">
        <v>1063</v>
      </c>
      <c r="B68" s="472"/>
      <c r="C68" s="472"/>
      <c r="D68" s="472"/>
      <c r="E68" s="274"/>
      <c r="F68" s="274"/>
      <c r="G68" s="476"/>
      <c r="H68" s="483" t="str">
        <f t="shared" si="0"/>
        <v xml:space="preserve"> </v>
      </c>
      <c r="I68" s="471">
        <f t="shared" si="1"/>
        <v>1063</v>
      </c>
      <c r="J68" s="471">
        <f t="shared" si="2"/>
        <v>0</v>
      </c>
      <c r="K68">
        <f t="shared" si="3"/>
        <v>1</v>
      </c>
    </row>
    <row r="69" spans="1:11" x14ac:dyDescent="0.2">
      <c r="A69" s="472">
        <v>1064</v>
      </c>
      <c r="B69" s="472"/>
      <c r="C69" s="472"/>
      <c r="D69" s="472"/>
      <c r="E69" s="274"/>
      <c r="F69" s="274"/>
      <c r="G69" s="476"/>
      <c r="H69" s="483" t="str">
        <f t="shared" si="0"/>
        <v xml:space="preserve"> </v>
      </c>
      <c r="I69" s="471">
        <f t="shared" si="1"/>
        <v>1064</v>
      </c>
      <c r="J69" s="471">
        <f t="shared" si="2"/>
        <v>0</v>
      </c>
      <c r="K69">
        <f t="shared" si="3"/>
        <v>1</v>
      </c>
    </row>
    <row r="70" spans="1:11" x14ac:dyDescent="0.2">
      <c r="A70" s="472">
        <v>1065</v>
      </c>
      <c r="B70" s="472"/>
      <c r="C70" s="472"/>
      <c r="D70" s="472"/>
      <c r="E70" s="274"/>
      <c r="F70" s="274"/>
      <c r="G70" s="476"/>
      <c r="H70" s="483" t="str">
        <f t="shared" ref="H70:H133" si="4">CONCATENATE(B70," ",C70)</f>
        <v xml:space="preserve"> </v>
      </c>
      <c r="I70" s="471">
        <f t="shared" ref="I70:I133" si="5">A70</f>
        <v>1065</v>
      </c>
      <c r="J70" s="471">
        <f t="shared" ref="J70:J133" si="6">G70</f>
        <v>0</v>
      </c>
      <c r="K70">
        <f t="shared" ref="K70:K133" si="7">LEN(H70)</f>
        <v>1</v>
      </c>
    </row>
    <row r="71" spans="1:11" x14ac:dyDescent="0.2">
      <c r="A71" s="472">
        <v>1066</v>
      </c>
      <c r="B71" s="472"/>
      <c r="C71" s="472"/>
      <c r="D71" s="472"/>
      <c r="E71" s="274"/>
      <c r="F71" s="274"/>
      <c r="G71" s="476"/>
      <c r="H71" s="483" t="str">
        <f t="shared" si="4"/>
        <v xml:space="preserve"> </v>
      </c>
      <c r="I71" s="471">
        <f t="shared" si="5"/>
        <v>1066</v>
      </c>
      <c r="J71" s="471">
        <f t="shared" si="6"/>
        <v>0</v>
      </c>
      <c r="K71">
        <f t="shared" si="7"/>
        <v>1</v>
      </c>
    </row>
    <row r="72" spans="1:11" x14ac:dyDescent="0.2">
      <c r="A72" s="472">
        <v>1067</v>
      </c>
      <c r="B72" s="472"/>
      <c r="C72" s="472"/>
      <c r="D72" s="472"/>
      <c r="E72" s="274"/>
      <c r="F72" s="274"/>
      <c r="G72" s="476"/>
      <c r="H72" s="483" t="str">
        <f t="shared" si="4"/>
        <v xml:space="preserve"> </v>
      </c>
      <c r="I72" s="471">
        <f t="shared" si="5"/>
        <v>1067</v>
      </c>
      <c r="J72" s="471">
        <f t="shared" si="6"/>
        <v>0</v>
      </c>
      <c r="K72">
        <f t="shared" si="7"/>
        <v>1</v>
      </c>
    </row>
    <row r="73" spans="1:11" x14ac:dyDescent="0.2">
      <c r="A73" s="472">
        <v>1068</v>
      </c>
      <c r="B73" s="472"/>
      <c r="C73" s="472"/>
      <c r="D73" s="472"/>
      <c r="E73" s="274"/>
      <c r="F73" s="274"/>
      <c r="G73" s="476"/>
      <c r="H73" s="483" t="str">
        <f t="shared" si="4"/>
        <v xml:space="preserve"> </v>
      </c>
      <c r="I73" s="471">
        <f t="shared" si="5"/>
        <v>1068</v>
      </c>
      <c r="J73" s="471">
        <f t="shared" si="6"/>
        <v>0</v>
      </c>
      <c r="K73">
        <f t="shared" si="7"/>
        <v>1</v>
      </c>
    </row>
    <row r="74" spans="1:11" x14ac:dyDescent="0.2">
      <c r="A74" s="472">
        <v>1069</v>
      </c>
      <c r="B74" s="475" t="s">
        <v>410</v>
      </c>
      <c r="C74" s="472"/>
      <c r="D74" s="472"/>
      <c r="E74" s="274"/>
      <c r="F74" s="274"/>
      <c r="G74" s="476"/>
      <c r="H74" s="483" t="str">
        <f t="shared" si="4"/>
        <v xml:space="preserve">Did Not Shoot </v>
      </c>
      <c r="I74" s="471">
        <f t="shared" si="5"/>
        <v>1069</v>
      </c>
      <c r="J74" s="471">
        <f t="shared" si="6"/>
        <v>0</v>
      </c>
      <c r="K74">
        <f t="shared" si="7"/>
        <v>14</v>
      </c>
    </row>
    <row r="75" spans="1:11" x14ac:dyDescent="0.2">
      <c r="A75" s="472">
        <v>1070</v>
      </c>
      <c r="B75" s="475" t="s">
        <v>410</v>
      </c>
      <c r="C75" s="472"/>
      <c r="D75" s="472"/>
      <c r="E75" s="274"/>
      <c r="F75" s="274"/>
      <c r="G75" s="476"/>
      <c r="H75" s="483" t="str">
        <f t="shared" si="4"/>
        <v xml:space="preserve">Did Not Shoot </v>
      </c>
      <c r="I75" s="471">
        <f t="shared" si="5"/>
        <v>1070</v>
      </c>
      <c r="J75" s="471">
        <f t="shared" si="6"/>
        <v>0</v>
      </c>
      <c r="K75">
        <f t="shared" si="7"/>
        <v>14</v>
      </c>
    </row>
    <row r="76" spans="1:11" x14ac:dyDescent="0.2">
      <c r="A76" s="472">
        <v>1071</v>
      </c>
      <c r="B76" s="475" t="s">
        <v>410</v>
      </c>
      <c r="C76" s="472"/>
      <c r="D76" s="472"/>
      <c r="E76" s="274"/>
      <c r="F76" s="274"/>
      <c r="G76" s="476"/>
      <c r="H76" s="483" t="str">
        <f t="shared" si="4"/>
        <v xml:space="preserve">Did Not Shoot </v>
      </c>
      <c r="I76" s="471">
        <f t="shared" si="5"/>
        <v>1071</v>
      </c>
      <c r="J76" s="471">
        <f t="shared" si="6"/>
        <v>0</v>
      </c>
      <c r="K76">
        <f t="shared" si="7"/>
        <v>14</v>
      </c>
    </row>
    <row r="77" spans="1:11" x14ac:dyDescent="0.2">
      <c r="A77" s="472">
        <v>1072</v>
      </c>
      <c r="B77" s="472"/>
      <c r="C77" s="472"/>
      <c r="D77" s="472"/>
      <c r="E77" s="274"/>
      <c r="F77" s="274"/>
      <c r="G77" s="476"/>
      <c r="H77" s="483" t="str">
        <f t="shared" si="4"/>
        <v xml:space="preserve"> </v>
      </c>
      <c r="I77" s="471">
        <f t="shared" si="5"/>
        <v>1072</v>
      </c>
      <c r="J77" s="471">
        <f t="shared" si="6"/>
        <v>0</v>
      </c>
      <c r="K77">
        <f t="shared" si="7"/>
        <v>1</v>
      </c>
    </row>
    <row r="78" spans="1:11" x14ac:dyDescent="0.2">
      <c r="A78" s="472">
        <v>1073</v>
      </c>
      <c r="B78" s="472"/>
      <c r="C78" s="472"/>
      <c r="D78" s="472"/>
      <c r="E78" s="274"/>
      <c r="F78" s="274"/>
      <c r="G78" s="476"/>
      <c r="H78" s="483" t="str">
        <f t="shared" si="4"/>
        <v xml:space="preserve"> </v>
      </c>
      <c r="I78" s="471">
        <f t="shared" si="5"/>
        <v>1073</v>
      </c>
      <c r="J78" s="471">
        <f t="shared" si="6"/>
        <v>0</v>
      </c>
      <c r="K78">
        <f t="shared" si="7"/>
        <v>1</v>
      </c>
    </row>
    <row r="79" spans="1:11" x14ac:dyDescent="0.2">
      <c r="A79" s="472">
        <v>1074</v>
      </c>
      <c r="B79" s="472"/>
      <c r="C79" s="472"/>
      <c r="D79" s="472"/>
      <c r="E79" s="274"/>
      <c r="F79" s="274"/>
      <c r="G79" s="476"/>
      <c r="H79" s="483" t="str">
        <f t="shared" si="4"/>
        <v xml:space="preserve"> </v>
      </c>
      <c r="I79" s="471">
        <f t="shared" si="5"/>
        <v>1074</v>
      </c>
      <c r="J79" s="471">
        <f t="shared" si="6"/>
        <v>0</v>
      </c>
      <c r="K79">
        <f t="shared" si="7"/>
        <v>1</v>
      </c>
    </row>
    <row r="80" spans="1:11" x14ac:dyDescent="0.2">
      <c r="A80" s="472">
        <v>1075</v>
      </c>
      <c r="B80" s="472"/>
      <c r="C80" s="472"/>
      <c r="D80" s="472"/>
      <c r="E80" s="274"/>
      <c r="F80" s="274"/>
      <c r="G80" s="476"/>
      <c r="H80" s="483" t="str">
        <f t="shared" si="4"/>
        <v xml:space="preserve"> </v>
      </c>
      <c r="I80" s="471">
        <f t="shared" si="5"/>
        <v>1075</v>
      </c>
      <c r="J80" s="471">
        <f t="shared" si="6"/>
        <v>0</v>
      </c>
      <c r="K80">
        <f t="shared" si="7"/>
        <v>1</v>
      </c>
    </row>
    <row r="81" spans="1:11" x14ac:dyDescent="0.2">
      <c r="A81" s="472">
        <v>1076</v>
      </c>
      <c r="B81" s="472"/>
      <c r="C81" s="472"/>
      <c r="D81" s="472"/>
      <c r="E81" s="274"/>
      <c r="F81" s="274"/>
      <c r="G81" s="476"/>
      <c r="H81" s="483" t="str">
        <f t="shared" si="4"/>
        <v xml:space="preserve"> </v>
      </c>
      <c r="I81" s="471">
        <f t="shared" si="5"/>
        <v>1076</v>
      </c>
      <c r="J81" s="471">
        <f t="shared" si="6"/>
        <v>0</v>
      </c>
      <c r="K81">
        <f t="shared" si="7"/>
        <v>1</v>
      </c>
    </row>
    <row r="82" spans="1:11" x14ac:dyDescent="0.2">
      <c r="A82" s="472">
        <v>1077</v>
      </c>
      <c r="B82" s="472"/>
      <c r="C82" s="472"/>
      <c r="D82" s="472"/>
      <c r="E82" s="274"/>
      <c r="F82" s="274"/>
      <c r="G82" s="476"/>
      <c r="H82" s="483" t="str">
        <f t="shared" si="4"/>
        <v xml:space="preserve"> </v>
      </c>
      <c r="I82" s="471">
        <f t="shared" si="5"/>
        <v>1077</v>
      </c>
      <c r="J82" s="471">
        <f t="shared" si="6"/>
        <v>0</v>
      </c>
      <c r="K82">
        <f t="shared" si="7"/>
        <v>1</v>
      </c>
    </row>
    <row r="83" spans="1:11" x14ac:dyDescent="0.2">
      <c r="A83" s="472">
        <v>1078</v>
      </c>
      <c r="B83" s="472"/>
      <c r="C83" s="472"/>
      <c r="D83" s="472"/>
      <c r="E83" s="274"/>
      <c r="F83" s="274"/>
      <c r="G83" s="476"/>
      <c r="H83" s="483" t="str">
        <f t="shared" si="4"/>
        <v xml:space="preserve"> </v>
      </c>
      <c r="I83" s="471">
        <f t="shared" si="5"/>
        <v>1078</v>
      </c>
      <c r="J83" s="471">
        <f t="shared" si="6"/>
        <v>0</v>
      </c>
      <c r="K83">
        <f t="shared" si="7"/>
        <v>1</v>
      </c>
    </row>
    <row r="84" spans="1:11" x14ac:dyDescent="0.2">
      <c r="A84" s="472">
        <v>1079</v>
      </c>
      <c r="B84" s="472"/>
      <c r="C84" s="472"/>
      <c r="D84" s="472"/>
      <c r="E84" s="274"/>
      <c r="F84" s="274"/>
      <c r="G84" s="476"/>
      <c r="H84" s="483" t="str">
        <f t="shared" si="4"/>
        <v xml:space="preserve"> </v>
      </c>
      <c r="I84" s="471">
        <f t="shared" si="5"/>
        <v>1079</v>
      </c>
      <c r="J84" s="471">
        <f t="shared" si="6"/>
        <v>0</v>
      </c>
      <c r="K84">
        <f t="shared" si="7"/>
        <v>1</v>
      </c>
    </row>
    <row r="85" spans="1:11" x14ac:dyDescent="0.2">
      <c r="A85" s="472">
        <v>1080</v>
      </c>
      <c r="B85" s="472"/>
      <c r="C85" s="472"/>
      <c r="D85" s="472"/>
      <c r="E85" s="274"/>
      <c r="F85" s="274"/>
      <c r="G85" s="476"/>
      <c r="H85" s="483" t="str">
        <f t="shared" si="4"/>
        <v xml:space="preserve"> </v>
      </c>
      <c r="I85" s="471">
        <f t="shared" si="5"/>
        <v>1080</v>
      </c>
      <c r="J85" s="471">
        <f t="shared" si="6"/>
        <v>0</v>
      </c>
      <c r="K85">
        <f t="shared" si="7"/>
        <v>1</v>
      </c>
    </row>
    <row r="86" spans="1:11" x14ac:dyDescent="0.2">
      <c r="A86" s="472">
        <v>1081</v>
      </c>
      <c r="B86" s="472"/>
      <c r="C86" s="472"/>
      <c r="D86" s="472"/>
      <c r="E86" s="274"/>
      <c r="F86" s="274"/>
      <c r="G86" s="476"/>
      <c r="H86" s="483" t="str">
        <f t="shared" si="4"/>
        <v xml:space="preserve"> </v>
      </c>
      <c r="I86" s="471">
        <f t="shared" si="5"/>
        <v>1081</v>
      </c>
      <c r="J86" s="471">
        <f t="shared" si="6"/>
        <v>0</v>
      </c>
      <c r="K86">
        <f t="shared" si="7"/>
        <v>1</v>
      </c>
    </row>
    <row r="87" spans="1:11" x14ac:dyDescent="0.2">
      <c r="A87" s="472">
        <v>1082</v>
      </c>
      <c r="B87" s="472"/>
      <c r="C87" s="472"/>
      <c r="D87" s="472"/>
      <c r="E87" s="274"/>
      <c r="F87" s="274"/>
      <c r="G87" s="476"/>
      <c r="H87" s="483" t="str">
        <f t="shared" si="4"/>
        <v xml:space="preserve"> </v>
      </c>
      <c r="I87" s="471">
        <f t="shared" si="5"/>
        <v>1082</v>
      </c>
      <c r="J87" s="471">
        <f t="shared" si="6"/>
        <v>0</v>
      </c>
      <c r="K87">
        <f t="shared" si="7"/>
        <v>1</v>
      </c>
    </row>
    <row r="88" spans="1:11" x14ac:dyDescent="0.2">
      <c r="A88" s="472">
        <v>1083</v>
      </c>
      <c r="B88" s="472"/>
      <c r="C88" s="472"/>
      <c r="D88" s="472"/>
      <c r="E88" s="274"/>
      <c r="F88" s="274"/>
      <c r="G88" s="476"/>
      <c r="H88" s="483" t="str">
        <f t="shared" si="4"/>
        <v xml:space="preserve"> </v>
      </c>
      <c r="I88" s="471">
        <f t="shared" si="5"/>
        <v>1083</v>
      </c>
      <c r="J88" s="471">
        <f t="shared" si="6"/>
        <v>0</v>
      </c>
      <c r="K88">
        <f t="shared" si="7"/>
        <v>1</v>
      </c>
    </row>
    <row r="89" spans="1:11" x14ac:dyDescent="0.2">
      <c r="A89" s="472">
        <v>1084</v>
      </c>
      <c r="B89" s="472"/>
      <c r="C89" s="472"/>
      <c r="D89" s="472"/>
      <c r="E89" s="274"/>
      <c r="F89" s="274"/>
      <c r="G89" s="476"/>
      <c r="H89" s="483" t="str">
        <f t="shared" si="4"/>
        <v xml:space="preserve"> </v>
      </c>
      <c r="I89" s="471">
        <f t="shared" si="5"/>
        <v>1084</v>
      </c>
      <c r="J89" s="471">
        <f t="shared" si="6"/>
        <v>0</v>
      </c>
      <c r="K89">
        <f t="shared" si="7"/>
        <v>1</v>
      </c>
    </row>
    <row r="90" spans="1:11" x14ac:dyDescent="0.2">
      <c r="A90" s="472">
        <v>1085</v>
      </c>
      <c r="B90" s="472"/>
      <c r="C90" s="472"/>
      <c r="D90" s="472"/>
      <c r="E90" s="274"/>
      <c r="F90" s="274"/>
      <c r="G90" s="476"/>
      <c r="H90" s="483" t="str">
        <f t="shared" si="4"/>
        <v xml:space="preserve"> </v>
      </c>
      <c r="I90" s="471">
        <f t="shared" si="5"/>
        <v>1085</v>
      </c>
      <c r="J90" s="471">
        <f t="shared" si="6"/>
        <v>0</v>
      </c>
      <c r="K90">
        <f t="shared" si="7"/>
        <v>1</v>
      </c>
    </row>
    <row r="91" spans="1:11" x14ac:dyDescent="0.2">
      <c r="A91" s="472">
        <v>1086</v>
      </c>
      <c r="B91" s="472"/>
      <c r="C91" s="472"/>
      <c r="D91" s="472"/>
      <c r="E91" s="274"/>
      <c r="F91" s="274"/>
      <c r="G91" s="476"/>
      <c r="H91" s="483" t="str">
        <f t="shared" si="4"/>
        <v xml:space="preserve"> </v>
      </c>
      <c r="I91" s="471">
        <f t="shared" si="5"/>
        <v>1086</v>
      </c>
      <c r="J91" s="471">
        <f t="shared" si="6"/>
        <v>0</v>
      </c>
      <c r="K91">
        <f t="shared" si="7"/>
        <v>1</v>
      </c>
    </row>
    <row r="92" spans="1:11" x14ac:dyDescent="0.2">
      <c r="A92" s="472">
        <v>1087</v>
      </c>
      <c r="B92" s="472"/>
      <c r="C92" s="472"/>
      <c r="D92" s="472"/>
      <c r="E92" s="274"/>
      <c r="F92" s="274"/>
      <c r="G92" s="476"/>
      <c r="H92" s="483" t="str">
        <f t="shared" si="4"/>
        <v xml:space="preserve"> </v>
      </c>
      <c r="I92" s="471">
        <f t="shared" si="5"/>
        <v>1087</v>
      </c>
      <c r="J92" s="471">
        <f t="shared" si="6"/>
        <v>0</v>
      </c>
      <c r="K92">
        <f t="shared" si="7"/>
        <v>1</v>
      </c>
    </row>
    <row r="93" spans="1:11" x14ac:dyDescent="0.2">
      <c r="A93" s="472">
        <v>1088</v>
      </c>
      <c r="B93" s="472"/>
      <c r="C93" s="472"/>
      <c r="D93" s="472"/>
      <c r="E93" s="274"/>
      <c r="F93" s="274"/>
      <c r="G93" s="476"/>
      <c r="H93" s="483" t="str">
        <f t="shared" si="4"/>
        <v xml:space="preserve"> </v>
      </c>
      <c r="I93" s="471">
        <f t="shared" si="5"/>
        <v>1088</v>
      </c>
      <c r="J93" s="471">
        <f t="shared" si="6"/>
        <v>0</v>
      </c>
      <c r="K93">
        <f t="shared" si="7"/>
        <v>1</v>
      </c>
    </row>
    <row r="94" spans="1:11" x14ac:dyDescent="0.2">
      <c r="A94" s="472">
        <v>1089</v>
      </c>
      <c r="B94" s="472"/>
      <c r="C94" s="472"/>
      <c r="D94" s="472"/>
      <c r="E94" s="274"/>
      <c r="F94" s="274"/>
      <c r="G94" s="476"/>
      <c r="H94" s="483" t="str">
        <f t="shared" si="4"/>
        <v xml:space="preserve"> </v>
      </c>
      <c r="I94" s="471">
        <f t="shared" si="5"/>
        <v>1089</v>
      </c>
      <c r="J94" s="471">
        <f t="shared" si="6"/>
        <v>0</v>
      </c>
      <c r="K94">
        <f t="shared" si="7"/>
        <v>1</v>
      </c>
    </row>
    <row r="95" spans="1:11" x14ac:dyDescent="0.2">
      <c r="A95" s="472">
        <v>1090</v>
      </c>
      <c r="B95" s="472"/>
      <c r="C95" s="472"/>
      <c r="D95" s="472"/>
      <c r="E95" s="274"/>
      <c r="F95" s="274"/>
      <c r="G95" s="476"/>
      <c r="H95" s="483" t="str">
        <f t="shared" si="4"/>
        <v xml:space="preserve"> </v>
      </c>
      <c r="I95" s="471">
        <f t="shared" si="5"/>
        <v>1090</v>
      </c>
      <c r="J95" s="471">
        <f t="shared" si="6"/>
        <v>0</v>
      </c>
      <c r="K95">
        <f t="shared" si="7"/>
        <v>1</v>
      </c>
    </row>
    <row r="96" spans="1:11" x14ac:dyDescent="0.2">
      <c r="A96" s="472">
        <v>1091</v>
      </c>
      <c r="B96" s="472"/>
      <c r="C96" s="472"/>
      <c r="D96" s="472"/>
      <c r="E96" s="274"/>
      <c r="F96" s="274"/>
      <c r="G96" s="476"/>
      <c r="H96" s="483" t="str">
        <f t="shared" si="4"/>
        <v xml:space="preserve"> </v>
      </c>
      <c r="I96" s="471">
        <f t="shared" si="5"/>
        <v>1091</v>
      </c>
      <c r="J96" s="471">
        <f t="shared" si="6"/>
        <v>0</v>
      </c>
      <c r="K96">
        <f t="shared" si="7"/>
        <v>1</v>
      </c>
    </row>
    <row r="97" spans="1:11" x14ac:dyDescent="0.2">
      <c r="A97" s="472">
        <v>1092</v>
      </c>
      <c r="B97" s="472"/>
      <c r="C97" s="472"/>
      <c r="D97" s="472"/>
      <c r="E97" s="274"/>
      <c r="F97" s="274"/>
      <c r="G97" s="476"/>
      <c r="H97" s="483" t="str">
        <f t="shared" si="4"/>
        <v xml:space="preserve"> </v>
      </c>
      <c r="I97" s="471">
        <f t="shared" si="5"/>
        <v>1092</v>
      </c>
      <c r="J97" s="471">
        <f t="shared" si="6"/>
        <v>0</v>
      </c>
      <c r="K97">
        <f t="shared" si="7"/>
        <v>1</v>
      </c>
    </row>
    <row r="98" spans="1:11" x14ac:dyDescent="0.2">
      <c r="A98" s="472">
        <v>1093</v>
      </c>
      <c r="B98" s="472"/>
      <c r="C98" s="472"/>
      <c r="D98" s="472"/>
      <c r="E98" s="274"/>
      <c r="F98" s="274"/>
      <c r="G98" s="476"/>
      <c r="H98" s="483" t="str">
        <f t="shared" si="4"/>
        <v xml:space="preserve"> </v>
      </c>
      <c r="I98" s="471">
        <f t="shared" si="5"/>
        <v>1093</v>
      </c>
      <c r="J98" s="471">
        <f t="shared" si="6"/>
        <v>0</v>
      </c>
      <c r="K98">
        <f t="shared" si="7"/>
        <v>1</v>
      </c>
    </row>
    <row r="99" spans="1:11" x14ac:dyDescent="0.2">
      <c r="A99" s="472">
        <v>1094</v>
      </c>
      <c r="B99" s="472"/>
      <c r="C99" s="472"/>
      <c r="D99" s="472"/>
      <c r="E99" s="274"/>
      <c r="F99" s="274"/>
      <c r="G99" s="476"/>
      <c r="H99" s="483" t="str">
        <f t="shared" si="4"/>
        <v xml:space="preserve"> </v>
      </c>
      <c r="I99" s="471">
        <f t="shared" si="5"/>
        <v>1094</v>
      </c>
      <c r="J99" s="471">
        <f t="shared" si="6"/>
        <v>0</v>
      </c>
      <c r="K99">
        <f t="shared" si="7"/>
        <v>1</v>
      </c>
    </row>
    <row r="100" spans="1:11" x14ac:dyDescent="0.2">
      <c r="A100" s="472">
        <v>1095</v>
      </c>
      <c r="B100" s="472"/>
      <c r="C100" s="472"/>
      <c r="D100" s="472"/>
      <c r="E100" s="274"/>
      <c r="F100" s="274"/>
      <c r="G100" s="476"/>
      <c r="H100" s="483" t="str">
        <f t="shared" si="4"/>
        <v xml:space="preserve"> </v>
      </c>
      <c r="I100" s="471">
        <f t="shared" si="5"/>
        <v>1095</v>
      </c>
      <c r="J100" s="471">
        <f t="shared" si="6"/>
        <v>0</v>
      </c>
      <c r="K100">
        <f t="shared" si="7"/>
        <v>1</v>
      </c>
    </row>
    <row r="101" spans="1:11" x14ac:dyDescent="0.2">
      <c r="A101" s="472">
        <v>1096</v>
      </c>
      <c r="B101" s="472"/>
      <c r="C101" s="472"/>
      <c r="D101" s="472"/>
      <c r="E101" s="274"/>
      <c r="F101" s="274"/>
      <c r="G101" s="476"/>
      <c r="H101" s="483" t="str">
        <f t="shared" si="4"/>
        <v xml:space="preserve"> </v>
      </c>
      <c r="I101" s="471">
        <f t="shared" si="5"/>
        <v>1096</v>
      </c>
      <c r="J101" s="471">
        <f t="shared" si="6"/>
        <v>0</v>
      </c>
      <c r="K101">
        <f t="shared" si="7"/>
        <v>1</v>
      </c>
    </row>
    <row r="102" spans="1:11" x14ac:dyDescent="0.2">
      <c r="A102" s="472">
        <v>1097</v>
      </c>
      <c r="B102" s="472"/>
      <c r="C102" s="472"/>
      <c r="D102" s="472"/>
      <c r="E102" s="274"/>
      <c r="F102" s="274"/>
      <c r="G102" s="476"/>
      <c r="H102" s="483" t="str">
        <f t="shared" si="4"/>
        <v xml:space="preserve"> </v>
      </c>
      <c r="I102" s="471">
        <f t="shared" si="5"/>
        <v>1097</v>
      </c>
      <c r="J102" s="471">
        <f t="shared" si="6"/>
        <v>0</v>
      </c>
      <c r="K102">
        <f t="shared" si="7"/>
        <v>1</v>
      </c>
    </row>
    <row r="103" spans="1:11" x14ac:dyDescent="0.2">
      <c r="A103" s="472">
        <v>1098</v>
      </c>
      <c r="B103" s="472"/>
      <c r="C103" s="472"/>
      <c r="D103" s="472"/>
      <c r="E103" s="274"/>
      <c r="F103" s="274"/>
      <c r="G103" s="476"/>
      <c r="H103" s="483" t="str">
        <f t="shared" si="4"/>
        <v xml:space="preserve"> </v>
      </c>
      <c r="I103" s="471">
        <f t="shared" si="5"/>
        <v>1098</v>
      </c>
      <c r="J103" s="471">
        <f t="shared" si="6"/>
        <v>0</v>
      </c>
      <c r="K103">
        <f t="shared" si="7"/>
        <v>1</v>
      </c>
    </row>
    <row r="104" spans="1:11" x14ac:dyDescent="0.2">
      <c r="A104" s="472">
        <v>1099</v>
      </c>
      <c r="B104" s="475" t="s">
        <v>410</v>
      </c>
      <c r="C104" s="472"/>
      <c r="D104" s="472"/>
      <c r="E104" s="274"/>
      <c r="F104" s="274"/>
      <c r="G104" s="476"/>
      <c r="H104" s="483" t="str">
        <f t="shared" si="4"/>
        <v xml:space="preserve">Did Not Shoot </v>
      </c>
      <c r="I104" s="471">
        <f t="shared" si="5"/>
        <v>1099</v>
      </c>
      <c r="J104" s="471">
        <f t="shared" si="6"/>
        <v>0</v>
      </c>
      <c r="K104">
        <f t="shared" si="7"/>
        <v>14</v>
      </c>
    </row>
    <row r="105" spans="1:11" x14ac:dyDescent="0.2">
      <c r="A105" s="472">
        <v>1100</v>
      </c>
      <c r="B105" s="472"/>
      <c r="C105" s="472"/>
      <c r="D105" s="472"/>
      <c r="E105" s="274"/>
      <c r="F105" s="274"/>
      <c r="G105" s="476"/>
      <c r="H105" s="483" t="str">
        <f t="shared" si="4"/>
        <v xml:space="preserve"> </v>
      </c>
      <c r="I105" s="471">
        <f t="shared" si="5"/>
        <v>1100</v>
      </c>
      <c r="J105" s="471">
        <f t="shared" si="6"/>
        <v>0</v>
      </c>
      <c r="K105">
        <f t="shared" si="7"/>
        <v>1</v>
      </c>
    </row>
    <row r="106" spans="1:11" x14ac:dyDescent="0.2">
      <c r="A106" s="472">
        <v>1101</v>
      </c>
      <c r="B106" s="472"/>
      <c r="C106" s="472"/>
      <c r="D106" s="472"/>
      <c r="E106" s="274"/>
      <c r="F106" s="274"/>
      <c r="G106" s="476"/>
      <c r="H106" s="483" t="str">
        <f t="shared" si="4"/>
        <v xml:space="preserve"> </v>
      </c>
      <c r="I106" s="471">
        <f t="shared" si="5"/>
        <v>1101</v>
      </c>
      <c r="J106" s="471">
        <f t="shared" si="6"/>
        <v>0</v>
      </c>
      <c r="K106">
        <f t="shared" si="7"/>
        <v>1</v>
      </c>
    </row>
    <row r="107" spans="1:11" x14ac:dyDescent="0.2">
      <c r="A107" s="472">
        <v>1102</v>
      </c>
      <c r="B107" s="472"/>
      <c r="C107" s="472"/>
      <c r="D107" s="472"/>
      <c r="E107" s="274"/>
      <c r="F107" s="274"/>
      <c r="G107" s="476"/>
      <c r="H107" s="483" t="str">
        <f t="shared" si="4"/>
        <v xml:space="preserve"> </v>
      </c>
      <c r="I107" s="471">
        <f t="shared" si="5"/>
        <v>1102</v>
      </c>
      <c r="J107" s="471">
        <f t="shared" si="6"/>
        <v>0</v>
      </c>
      <c r="K107">
        <f t="shared" si="7"/>
        <v>1</v>
      </c>
    </row>
    <row r="108" spans="1:11" x14ac:dyDescent="0.2">
      <c r="A108" s="472">
        <v>1103</v>
      </c>
      <c r="B108" s="472"/>
      <c r="C108" s="472"/>
      <c r="D108" s="472"/>
      <c r="E108" s="274"/>
      <c r="F108" s="274"/>
      <c r="G108" s="476"/>
      <c r="H108" s="483" t="str">
        <f t="shared" si="4"/>
        <v xml:space="preserve"> </v>
      </c>
      <c r="I108" s="471">
        <f t="shared" si="5"/>
        <v>1103</v>
      </c>
      <c r="J108" s="471">
        <f t="shared" si="6"/>
        <v>0</v>
      </c>
      <c r="K108">
        <f t="shared" si="7"/>
        <v>1</v>
      </c>
    </row>
    <row r="109" spans="1:11" x14ac:dyDescent="0.2">
      <c r="A109" s="472">
        <v>1104</v>
      </c>
      <c r="B109" s="472"/>
      <c r="C109" s="472"/>
      <c r="D109" s="472"/>
      <c r="E109" s="274"/>
      <c r="F109" s="274"/>
      <c r="G109" s="476"/>
      <c r="H109" s="483" t="str">
        <f t="shared" si="4"/>
        <v xml:space="preserve"> </v>
      </c>
      <c r="I109" s="471">
        <f t="shared" si="5"/>
        <v>1104</v>
      </c>
      <c r="J109" s="471">
        <f t="shared" si="6"/>
        <v>0</v>
      </c>
      <c r="K109">
        <f t="shared" si="7"/>
        <v>1</v>
      </c>
    </row>
    <row r="110" spans="1:11" x14ac:dyDescent="0.2">
      <c r="A110" s="472">
        <v>1105</v>
      </c>
      <c r="B110" s="472"/>
      <c r="C110" s="472"/>
      <c r="D110" s="472"/>
      <c r="E110" s="274"/>
      <c r="F110" s="274"/>
      <c r="G110" s="476"/>
      <c r="H110" s="483" t="str">
        <f t="shared" si="4"/>
        <v xml:space="preserve"> </v>
      </c>
      <c r="I110" s="471">
        <f t="shared" si="5"/>
        <v>1105</v>
      </c>
      <c r="J110" s="471">
        <f t="shared" si="6"/>
        <v>0</v>
      </c>
      <c r="K110">
        <f t="shared" si="7"/>
        <v>1</v>
      </c>
    </row>
    <row r="111" spans="1:11" x14ac:dyDescent="0.2">
      <c r="A111" s="472">
        <v>1106</v>
      </c>
      <c r="B111" s="472"/>
      <c r="C111" s="472"/>
      <c r="D111" s="472"/>
      <c r="E111" s="274"/>
      <c r="F111" s="274"/>
      <c r="G111" s="476"/>
      <c r="H111" s="483" t="str">
        <f t="shared" si="4"/>
        <v xml:space="preserve"> </v>
      </c>
      <c r="I111" s="471">
        <f t="shared" si="5"/>
        <v>1106</v>
      </c>
      <c r="J111" s="471">
        <f t="shared" si="6"/>
        <v>0</v>
      </c>
      <c r="K111">
        <f t="shared" si="7"/>
        <v>1</v>
      </c>
    </row>
    <row r="112" spans="1:11" x14ac:dyDescent="0.2">
      <c r="A112" s="472">
        <v>1107</v>
      </c>
      <c r="B112" s="472"/>
      <c r="C112" s="472"/>
      <c r="D112" s="472"/>
      <c r="E112" s="274"/>
      <c r="F112" s="274"/>
      <c r="G112" s="476"/>
      <c r="H112" s="483" t="str">
        <f t="shared" si="4"/>
        <v xml:space="preserve"> </v>
      </c>
      <c r="I112" s="471">
        <f t="shared" si="5"/>
        <v>1107</v>
      </c>
      <c r="J112" s="471">
        <f t="shared" si="6"/>
        <v>0</v>
      </c>
      <c r="K112">
        <f t="shared" si="7"/>
        <v>1</v>
      </c>
    </row>
    <row r="113" spans="1:11" x14ac:dyDescent="0.2">
      <c r="A113" s="472">
        <v>1108</v>
      </c>
      <c r="B113" s="472"/>
      <c r="C113" s="472"/>
      <c r="D113" s="472"/>
      <c r="E113" s="274"/>
      <c r="F113" s="274"/>
      <c r="G113" s="476"/>
      <c r="H113" s="483" t="str">
        <f t="shared" si="4"/>
        <v xml:space="preserve"> </v>
      </c>
      <c r="I113" s="471">
        <f t="shared" si="5"/>
        <v>1108</v>
      </c>
      <c r="J113" s="471">
        <f t="shared" si="6"/>
        <v>0</v>
      </c>
      <c r="K113">
        <f t="shared" si="7"/>
        <v>1</v>
      </c>
    </row>
    <row r="114" spans="1:11" x14ac:dyDescent="0.2">
      <c r="A114" s="472">
        <v>1109</v>
      </c>
      <c r="B114" s="472"/>
      <c r="C114" s="472"/>
      <c r="D114" s="472"/>
      <c r="E114" s="274"/>
      <c r="F114" s="274"/>
      <c r="G114" s="476"/>
      <c r="H114" s="483" t="str">
        <f t="shared" si="4"/>
        <v xml:space="preserve"> </v>
      </c>
      <c r="I114" s="471">
        <f t="shared" si="5"/>
        <v>1109</v>
      </c>
      <c r="J114" s="471">
        <f t="shared" si="6"/>
        <v>0</v>
      </c>
      <c r="K114">
        <f t="shared" si="7"/>
        <v>1</v>
      </c>
    </row>
    <row r="115" spans="1:11" x14ac:dyDescent="0.2">
      <c r="A115" s="472">
        <v>1110</v>
      </c>
      <c r="B115" s="472"/>
      <c r="C115" s="472"/>
      <c r="D115" s="472"/>
      <c r="E115" s="274"/>
      <c r="F115" s="274"/>
      <c r="G115" s="476"/>
      <c r="H115" s="483" t="str">
        <f t="shared" si="4"/>
        <v xml:space="preserve"> </v>
      </c>
      <c r="I115" s="471">
        <f t="shared" si="5"/>
        <v>1110</v>
      </c>
      <c r="J115" s="471">
        <f t="shared" si="6"/>
        <v>0</v>
      </c>
      <c r="K115">
        <f t="shared" si="7"/>
        <v>1</v>
      </c>
    </row>
    <row r="116" spans="1:11" x14ac:dyDescent="0.2">
      <c r="A116" s="472">
        <v>1111</v>
      </c>
      <c r="B116" s="472"/>
      <c r="C116" s="472"/>
      <c r="D116" s="472"/>
      <c r="E116" s="274"/>
      <c r="F116" s="274"/>
      <c r="G116" s="476"/>
      <c r="H116" s="483" t="str">
        <f t="shared" si="4"/>
        <v xml:space="preserve"> </v>
      </c>
      <c r="I116" s="471">
        <f t="shared" si="5"/>
        <v>1111</v>
      </c>
      <c r="J116" s="471">
        <f t="shared" si="6"/>
        <v>0</v>
      </c>
      <c r="K116">
        <f t="shared" si="7"/>
        <v>1</v>
      </c>
    </row>
    <row r="117" spans="1:11" x14ac:dyDescent="0.2">
      <c r="A117" s="472">
        <v>1112</v>
      </c>
      <c r="B117" s="472"/>
      <c r="C117" s="472"/>
      <c r="D117" s="472"/>
      <c r="E117" s="274"/>
      <c r="F117" s="274"/>
      <c r="G117" s="476"/>
      <c r="H117" s="483" t="str">
        <f t="shared" si="4"/>
        <v xml:space="preserve"> </v>
      </c>
      <c r="I117" s="471">
        <f t="shared" si="5"/>
        <v>1112</v>
      </c>
      <c r="J117" s="471">
        <f t="shared" si="6"/>
        <v>0</v>
      </c>
      <c r="K117">
        <f t="shared" si="7"/>
        <v>1</v>
      </c>
    </row>
    <row r="118" spans="1:11" x14ac:dyDescent="0.2">
      <c r="A118" s="472">
        <v>1113</v>
      </c>
      <c r="B118" s="472"/>
      <c r="C118" s="472"/>
      <c r="D118" s="472"/>
      <c r="E118" s="274"/>
      <c r="F118" s="274"/>
      <c r="G118" s="476"/>
      <c r="H118" s="483" t="str">
        <f t="shared" si="4"/>
        <v xml:space="preserve"> </v>
      </c>
      <c r="I118" s="471">
        <f t="shared" si="5"/>
        <v>1113</v>
      </c>
      <c r="J118" s="471">
        <f t="shared" si="6"/>
        <v>0</v>
      </c>
      <c r="K118">
        <f t="shared" si="7"/>
        <v>1</v>
      </c>
    </row>
    <row r="119" spans="1:11" x14ac:dyDescent="0.2">
      <c r="A119" s="472">
        <v>1114</v>
      </c>
      <c r="B119" s="472"/>
      <c r="C119" s="472"/>
      <c r="D119" s="472"/>
      <c r="E119" s="274"/>
      <c r="F119" s="274"/>
      <c r="G119" s="476"/>
      <c r="H119" s="483" t="str">
        <f t="shared" si="4"/>
        <v xml:space="preserve"> </v>
      </c>
      <c r="I119" s="471">
        <f t="shared" si="5"/>
        <v>1114</v>
      </c>
      <c r="J119" s="471">
        <f t="shared" si="6"/>
        <v>0</v>
      </c>
      <c r="K119">
        <f t="shared" si="7"/>
        <v>1</v>
      </c>
    </row>
    <row r="120" spans="1:11" x14ac:dyDescent="0.2">
      <c r="A120" s="472">
        <v>1115</v>
      </c>
      <c r="B120" s="472"/>
      <c r="C120" s="472"/>
      <c r="D120" s="472"/>
      <c r="E120" s="274"/>
      <c r="F120" s="274"/>
      <c r="G120" s="476"/>
      <c r="H120" s="483" t="str">
        <f t="shared" si="4"/>
        <v xml:space="preserve"> </v>
      </c>
      <c r="I120" s="471">
        <f t="shared" si="5"/>
        <v>1115</v>
      </c>
      <c r="J120" s="471">
        <f t="shared" si="6"/>
        <v>0</v>
      </c>
      <c r="K120">
        <f t="shared" si="7"/>
        <v>1</v>
      </c>
    </row>
    <row r="121" spans="1:11" x14ac:dyDescent="0.2">
      <c r="A121" s="472">
        <v>1116</v>
      </c>
      <c r="B121" s="472"/>
      <c r="C121" s="472"/>
      <c r="D121" s="472"/>
      <c r="E121" s="274"/>
      <c r="F121" s="274"/>
      <c r="G121" s="476"/>
      <c r="H121" s="483" t="str">
        <f t="shared" si="4"/>
        <v xml:space="preserve"> </v>
      </c>
      <c r="I121" s="471">
        <f t="shared" si="5"/>
        <v>1116</v>
      </c>
      <c r="J121" s="471">
        <f t="shared" si="6"/>
        <v>0</v>
      </c>
      <c r="K121">
        <f t="shared" si="7"/>
        <v>1</v>
      </c>
    </row>
    <row r="122" spans="1:11" x14ac:dyDescent="0.2">
      <c r="A122" s="472">
        <v>1117</v>
      </c>
      <c r="B122" s="472"/>
      <c r="C122" s="472"/>
      <c r="D122" s="472"/>
      <c r="E122" s="274"/>
      <c r="F122" s="274"/>
      <c r="G122" s="476"/>
      <c r="H122" s="483" t="str">
        <f t="shared" si="4"/>
        <v xml:space="preserve"> </v>
      </c>
      <c r="I122" s="471">
        <f t="shared" si="5"/>
        <v>1117</v>
      </c>
      <c r="J122" s="471">
        <f t="shared" si="6"/>
        <v>0</v>
      </c>
      <c r="K122">
        <f t="shared" si="7"/>
        <v>1</v>
      </c>
    </row>
    <row r="123" spans="1:11" x14ac:dyDescent="0.2">
      <c r="A123" s="472">
        <v>1118</v>
      </c>
      <c r="B123" s="472"/>
      <c r="C123" s="472"/>
      <c r="D123" s="472"/>
      <c r="E123" s="274"/>
      <c r="F123" s="274"/>
      <c r="G123" s="476"/>
      <c r="H123" s="483" t="str">
        <f t="shared" si="4"/>
        <v xml:space="preserve"> </v>
      </c>
      <c r="I123" s="471">
        <f t="shared" si="5"/>
        <v>1118</v>
      </c>
      <c r="J123" s="471">
        <f t="shared" si="6"/>
        <v>0</v>
      </c>
      <c r="K123">
        <f t="shared" si="7"/>
        <v>1</v>
      </c>
    </row>
    <row r="124" spans="1:11" x14ac:dyDescent="0.2">
      <c r="A124" s="472">
        <v>1119</v>
      </c>
      <c r="B124" s="472"/>
      <c r="C124" s="472"/>
      <c r="D124" s="472"/>
      <c r="E124" s="274"/>
      <c r="F124" s="274"/>
      <c r="G124" s="476"/>
      <c r="H124" s="483" t="str">
        <f t="shared" si="4"/>
        <v xml:space="preserve"> </v>
      </c>
      <c r="I124" s="471">
        <f t="shared" si="5"/>
        <v>1119</v>
      </c>
      <c r="J124" s="471">
        <f t="shared" si="6"/>
        <v>0</v>
      </c>
      <c r="K124">
        <f t="shared" si="7"/>
        <v>1</v>
      </c>
    </row>
    <row r="125" spans="1:11" x14ac:dyDescent="0.2">
      <c r="A125" s="472">
        <v>1120</v>
      </c>
      <c r="B125" s="472"/>
      <c r="C125" s="472"/>
      <c r="D125" s="472"/>
      <c r="E125" s="274"/>
      <c r="F125" s="274"/>
      <c r="G125" s="476"/>
      <c r="H125" s="483" t="str">
        <f t="shared" si="4"/>
        <v xml:space="preserve"> </v>
      </c>
      <c r="I125" s="471">
        <f t="shared" si="5"/>
        <v>1120</v>
      </c>
      <c r="J125" s="471">
        <f t="shared" si="6"/>
        <v>0</v>
      </c>
      <c r="K125">
        <f t="shared" si="7"/>
        <v>1</v>
      </c>
    </row>
    <row r="126" spans="1:11" x14ac:dyDescent="0.2">
      <c r="A126" s="472">
        <v>1121</v>
      </c>
      <c r="B126" s="472"/>
      <c r="C126" s="472"/>
      <c r="D126" s="472"/>
      <c r="E126" s="274"/>
      <c r="F126" s="274"/>
      <c r="G126" s="476"/>
      <c r="H126" s="483" t="str">
        <f t="shared" si="4"/>
        <v xml:space="preserve"> </v>
      </c>
      <c r="I126" s="471">
        <f t="shared" si="5"/>
        <v>1121</v>
      </c>
      <c r="J126" s="471">
        <f t="shared" si="6"/>
        <v>0</v>
      </c>
      <c r="K126">
        <f t="shared" si="7"/>
        <v>1</v>
      </c>
    </row>
    <row r="127" spans="1:11" x14ac:dyDescent="0.2">
      <c r="A127" s="472">
        <v>1122</v>
      </c>
      <c r="B127" s="472"/>
      <c r="C127" s="472"/>
      <c r="D127" s="472"/>
      <c r="E127" s="274"/>
      <c r="F127" s="274"/>
      <c r="G127" s="476"/>
      <c r="H127" s="483" t="str">
        <f t="shared" si="4"/>
        <v xml:space="preserve"> </v>
      </c>
      <c r="I127" s="471">
        <f t="shared" si="5"/>
        <v>1122</v>
      </c>
      <c r="J127" s="471">
        <f t="shared" si="6"/>
        <v>0</v>
      </c>
      <c r="K127">
        <f t="shared" si="7"/>
        <v>1</v>
      </c>
    </row>
    <row r="128" spans="1:11" x14ac:dyDescent="0.2">
      <c r="A128" s="472">
        <v>1123</v>
      </c>
      <c r="B128" s="472"/>
      <c r="C128" s="472"/>
      <c r="D128" s="472"/>
      <c r="E128" s="274"/>
      <c r="F128" s="274"/>
      <c r="G128" s="476"/>
      <c r="H128" s="483" t="str">
        <f t="shared" si="4"/>
        <v xml:space="preserve"> </v>
      </c>
      <c r="I128" s="471">
        <f t="shared" si="5"/>
        <v>1123</v>
      </c>
      <c r="J128" s="471">
        <f t="shared" si="6"/>
        <v>0</v>
      </c>
      <c r="K128">
        <f t="shared" si="7"/>
        <v>1</v>
      </c>
    </row>
    <row r="129" spans="1:11" x14ac:dyDescent="0.2">
      <c r="A129" s="472">
        <v>1124</v>
      </c>
      <c r="B129" s="472"/>
      <c r="C129" s="472"/>
      <c r="D129" s="472"/>
      <c r="E129" s="274"/>
      <c r="F129" s="274"/>
      <c r="G129" s="476"/>
      <c r="H129" s="483" t="str">
        <f t="shared" si="4"/>
        <v xml:space="preserve"> </v>
      </c>
      <c r="I129" s="471">
        <f t="shared" si="5"/>
        <v>1124</v>
      </c>
      <c r="J129" s="471">
        <f t="shared" si="6"/>
        <v>0</v>
      </c>
      <c r="K129">
        <f t="shared" si="7"/>
        <v>1</v>
      </c>
    </row>
    <row r="130" spans="1:11" x14ac:dyDescent="0.2">
      <c r="A130" s="472">
        <v>1125</v>
      </c>
      <c r="B130" s="472"/>
      <c r="C130" s="472"/>
      <c r="D130" s="472"/>
      <c r="E130" s="274"/>
      <c r="F130" s="274"/>
      <c r="G130" s="476"/>
      <c r="H130" s="483" t="str">
        <f t="shared" si="4"/>
        <v xml:space="preserve"> </v>
      </c>
      <c r="I130" s="471">
        <f t="shared" si="5"/>
        <v>1125</v>
      </c>
      <c r="J130" s="471">
        <f t="shared" si="6"/>
        <v>0</v>
      </c>
      <c r="K130">
        <f t="shared" si="7"/>
        <v>1</v>
      </c>
    </row>
    <row r="131" spans="1:11" x14ac:dyDescent="0.2">
      <c r="A131" s="472">
        <v>1126</v>
      </c>
      <c r="B131" s="472"/>
      <c r="C131" s="472"/>
      <c r="D131" s="472"/>
      <c r="E131" s="274"/>
      <c r="F131" s="274"/>
      <c r="G131" s="476"/>
      <c r="H131" s="483" t="str">
        <f t="shared" si="4"/>
        <v xml:space="preserve"> </v>
      </c>
      <c r="I131" s="471">
        <f t="shared" si="5"/>
        <v>1126</v>
      </c>
      <c r="J131" s="471">
        <f t="shared" si="6"/>
        <v>0</v>
      </c>
      <c r="K131">
        <f t="shared" si="7"/>
        <v>1</v>
      </c>
    </row>
    <row r="132" spans="1:11" x14ac:dyDescent="0.2">
      <c r="A132" s="472">
        <v>1127</v>
      </c>
      <c r="B132" s="472"/>
      <c r="C132" s="472"/>
      <c r="D132" s="472"/>
      <c r="E132" s="274"/>
      <c r="F132" s="274"/>
      <c r="G132" s="476"/>
      <c r="H132" s="483" t="str">
        <f t="shared" si="4"/>
        <v xml:space="preserve"> </v>
      </c>
      <c r="I132" s="471">
        <f t="shared" si="5"/>
        <v>1127</v>
      </c>
      <c r="J132" s="471">
        <f t="shared" si="6"/>
        <v>0</v>
      </c>
      <c r="K132">
        <f t="shared" si="7"/>
        <v>1</v>
      </c>
    </row>
    <row r="133" spans="1:11" x14ac:dyDescent="0.2">
      <c r="A133" s="472">
        <v>1128</v>
      </c>
      <c r="B133" s="475" t="s">
        <v>410</v>
      </c>
      <c r="C133" s="472"/>
      <c r="D133" s="472"/>
      <c r="E133" s="274"/>
      <c r="F133" s="274"/>
      <c r="G133" s="476"/>
      <c r="H133" s="483" t="str">
        <f t="shared" si="4"/>
        <v xml:space="preserve">Did Not Shoot </v>
      </c>
      <c r="I133" s="471">
        <f t="shared" si="5"/>
        <v>1128</v>
      </c>
      <c r="J133" s="471">
        <f t="shared" si="6"/>
        <v>0</v>
      </c>
      <c r="K133">
        <f t="shared" si="7"/>
        <v>14</v>
      </c>
    </row>
    <row r="134" spans="1:11" x14ac:dyDescent="0.2">
      <c r="A134" s="472">
        <v>1129</v>
      </c>
      <c r="B134" s="472"/>
      <c r="C134" s="472"/>
      <c r="D134" s="472"/>
      <c r="E134" s="274"/>
      <c r="F134" s="274"/>
      <c r="G134" s="476"/>
      <c r="H134" s="483" t="str">
        <f t="shared" ref="H134:H197" si="8">CONCATENATE(B134," ",C134)</f>
        <v xml:space="preserve"> </v>
      </c>
      <c r="I134" s="471">
        <f t="shared" ref="I134:I197" si="9">A134</f>
        <v>1129</v>
      </c>
      <c r="J134" s="471">
        <f t="shared" ref="J134:J197" si="10">G134</f>
        <v>0</v>
      </c>
      <c r="K134">
        <f t="shared" ref="K134:K197" si="11">LEN(H134)</f>
        <v>1</v>
      </c>
    </row>
    <row r="135" spans="1:11" x14ac:dyDescent="0.2">
      <c r="A135" s="472">
        <v>1130</v>
      </c>
      <c r="B135" s="472"/>
      <c r="C135" s="472"/>
      <c r="D135" s="472"/>
      <c r="E135" s="274"/>
      <c r="F135" s="274"/>
      <c r="G135" s="476"/>
      <c r="H135" s="483" t="str">
        <f t="shared" si="8"/>
        <v xml:space="preserve"> </v>
      </c>
      <c r="I135" s="471">
        <f t="shared" si="9"/>
        <v>1130</v>
      </c>
      <c r="J135" s="471">
        <f t="shared" si="10"/>
        <v>0</v>
      </c>
      <c r="K135">
        <f t="shared" si="11"/>
        <v>1</v>
      </c>
    </row>
    <row r="136" spans="1:11" x14ac:dyDescent="0.2">
      <c r="A136" s="472">
        <v>1131</v>
      </c>
      <c r="B136" s="472"/>
      <c r="C136" s="472"/>
      <c r="D136" s="472"/>
      <c r="E136" s="274"/>
      <c r="F136" s="274"/>
      <c r="G136" s="476"/>
      <c r="H136" s="483" t="str">
        <f t="shared" si="8"/>
        <v xml:space="preserve"> </v>
      </c>
      <c r="I136" s="471">
        <f t="shared" si="9"/>
        <v>1131</v>
      </c>
      <c r="J136" s="471">
        <f t="shared" si="10"/>
        <v>0</v>
      </c>
      <c r="K136">
        <f t="shared" si="11"/>
        <v>1</v>
      </c>
    </row>
    <row r="137" spans="1:11" x14ac:dyDescent="0.2">
      <c r="A137" s="472">
        <v>1132</v>
      </c>
      <c r="B137" s="472"/>
      <c r="C137" s="472"/>
      <c r="D137" s="472"/>
      <c r="E137" s="274"/>
      <c r="F137" s="274"/>
      <c r="G137" s="476"/>
      <c r="H137" s="483" t="str">
        <f t="shared" si="8"/>
        <v xml:space="preserve"> </v>
      </c>
      <c r="I137" s="471">
        <f t="shared" si="9"/>
        <v>1132</v>
      </c>
      <c r="J137" s="471">
        <f t="shared" si="10"/>
        <v>0</v>
      </c>
      <c r="K137">
        <f t="shared" si="11"/>
        <v>1</v>
      </c>
    </row>
    <row r="138" spans="1:11" x14ac:dyDescent="0.2">
      <c r="A138" s="472">
        <v>1133</v>
      </c>
      <c r="B138" s="475" t="s">
        <v>410</v>
      </c>
      <c r="C138" s="472"/>
      <c r="D138" s="472"/>
      <c r="E138" s="274"/>
      <c r="F138" s="274"/>
      <c r="G138" s="476"/>
      <c r="H138" s="483" t="str">
        <f t="shared" si="8"/>
        <v xml:space="preserve">Did Not Shoot </v>
      </c>
      <c r="I138" s="471">
        <f t="shared" si="9"/>
        <v>1133</v>
      </c>
      <c r="J138" s="471">
        <f t="shared" si="10"/>
        <v>0</v>
      </c>
      <c r="K138">
        <f t="shared" si="11"/>
        <v>14</v>
      </c>
    </row>
    <row r="139" spans="1:11" x14ac:dyDescent="0.2">
      <c r="A139" s="472">
        <v>1134</v>
      </c>
      <c r="B139" s="472"/>
      <c r="C139" s="472"/>
      <c r="D139" s="472"/>
      <c r="E139" s="274"/>
      <c r="F139" s="274"/>
      <c r="G139" s="476"/>
      <c r="H139" s="483" t="str">
        <f t="shared" si="8"/>
        <v xml:space="preserve"> </v>
      </c>
      <c r="I139" s="471">
        <f t="shared" si="9"/>
        <v>1134</v>
      </c>
      <c r="J139" s="471">
        <f t="shared" si="10"/>
        <v>0</v>
      </c>
      <c r="K139">
        <f t="shared" si="11"/>
        <v>1</v>
      </c>
    </row>
    <row r="140" spans="1:11" x14ac:dyDescent="0.2">
      <c r="A140" s="472">
        <v>1135</v>
      </c>
      <c r="B140" s="472"/>
      <c r="C140" s="472"/>
      <c r="D140" s="472"/>
      <c r="E140" s="274"/>
      <c r="F140" s="274"/>
      <c r="G140" s="476"/>
      <c r="H140" s="483" t="str">
        <f t="shared" si="8"/>
        <v xml:space="preserve"> </v>
      </c>
      <c r="I140" s="471">
        <f t="shared" si="9"/>
        <v>1135</v>
      </c>
      <c r="J140" s="471">
        <f t="shared" si="10"/>
        <v>0</v>
      </c>
      <c r="K140">
        <f t="shared" si="11"/>
        <v>1</v>
      </c>
    </row>
    <row r="141" spans="1:11" x14ac:dyDescent="0.2">
      <c r="A141" s="472">
        <v>1136</v>
      </c>
      <c r="B141" s="472"/>
      <c r="C141" s="472"/>
      <c r="D141" s="472"/>
      <c r="E141" s="274"/>
      <c r="F141" s="274"/>
      <c r="G141" s="476"/>
      <c r="H141" s="483" t="str">
        <f t="shared" si="8"/>
        <v xml:space="preserve"> </v>
      </c>
      <c r="I141" s="471">
        <f t="shared" si="9"/>
        <v>1136</v>
      </c>
      <c r="J141" s="471">
        <f t="shared" si="10"/>
        <v>0</v>
      </c>
      <c r="K141">
        <f t="shared" si="11"/>
        <v>1</v>
      </c>
    </row>
    <row r="142" spans="1:11" x14ac:dyDescent="0.2">
      <c r="A142" s="472">
        <v>1137</v>
      </c>
      <c r="B142" s="472"/>
      <c r="C142" s="472"/>
      <c r="D142" s="472"/>
      <c r="E142" s="274"/>
      <c r="F142" s="274"/>
      <c r="G142" s="476"/>
      <c r="H142" s="483" t="str">
        <f t="shared" si="8"/>
        <v xml:space="preserve"> </v>
      </c>
      <c r="I142" s="471">
        <f t="shared" si="9"/>
        <v>1137</v>
      </c>
      <c r="J142" s="471">
        <f t="shared" si="10"/>
        <v>0</v>
      </c>
      <c r="K142">
        <f t="shared" si="11"/>
        <v>1</v>
      </c>
    </row>
    <row r="143" spans="1:11" x14ac:dyDescent="0.2">
      <c r="A143" s="472">
        <v>1138</v>
      </c>
      <c r="B143" s="472"/>
      <c r="C143" s="472"/>
      <c r="D143" s="472"/>
      <c r="E143" s="274"/>
      <c r="F143" s="274"/>
      <c r="G143" s="476"/>
      <c r="H143" s="483" t="str">
        <f t="shared" si="8"/>
        <v xml:space="preserve"> </v>
      </c>
      <c r="I143" s="471">
        <f t="shared" si="9"/>
        <v>1138</v>
      </c>
      <c r="J143" s="471">
        <f t="shared" si="10"/>
        <v>0</v>
      </c>
      <c r="K143">
        <f t="shared" si="11"/>
        <v>1</v>
      </c>
    </row>
    <row r="144" spans="1:11" x14ac:dyDescent="0.2">
      <c r="A144" s="472">
        <v>1139</v>
      </c>
      <c r="B144" s="472"/>
      <c r="C144" s="472"/>
      <c r="D144" s="472"/>
      <c r="E144" s="274"/>
      <c r="F144" s="274"/>
      <c r="G144" s="476"/>
      <c r="H144" s="483" t="str">
        <f t="shared" si="8"/>
        <v xml:space="preserve"> </v>
      </c>
      <c r="I144" s="471">
        <f t="shared" si="9"/>
        <v>1139</v>
      </c>
      <c r="J144" s="471">
        <f t="shared" si="10"/>
        <v>0</v>
      </c>
      <c r="K144">
        <f t="shared" si="11"/>
        <v>1</v>
      </c>
    </row>
    <row r="145" spans="1:11" x14ac:dyDescent="0.2">
      <c r="A145" s="472">
        <v>1140</v>
      </c>
      <c r="B145" s="472"/>
      <c r="C145" s="472"/>
      <c r="D145" s="472"/>
      <c r="E145" s="274"/>
      <c r="F145" s="274"/>
      <c r="G145" s="476"/>
      <c r="H145" s="483" t="str">
        <f t="shared" si="8"/>
        <v xml:space="preserve"> </v>
      </c>
      <c r="I145" s="471">
        <f t="shared" si="9"/>
        <v>1140</v>
      </c>
      <c r="J145" s="471">
        <f t="shared" si="10"/>
        <v>0</v>
      </c>
      <c r="K145">
        <f t="shared" si="11"/>
        <v>1</v>
      </c>
    </row>
    <row r="146" spans="1:11" x14ac:dyDescent="0.2">
      <c r="A146" s="472">
        <v>1141</v>
      </c>
      <c r="B146" s="472"/>
      <c r="C146" s="472"/>
      <c r="D146" s="472"/>
      <c r="E146" s="274"/>
      <c r="F146" s="274"/>
      <c r="G146" s="476"/>
      <c r="H146" s="483" t="str">
        <f t="shared" si="8"/>
        <v xml:space="preserve"> </v>
      </c>
      <c r="I146" s="471">
        <f t="shared" si="9"/>
        <v>1141</v>
      </c>
      <c r="J146" s="471">
        <f t="shared" si="10"/>
        <v>0</v>
      </c>
      <c r="K146">
        <f t="shared" si="11"/>
        <v>1</v>
      </c>
    </row>
    <row r="147" spans="1:11" x14ac:dyDescent="0.2">
      <c r="A147" s="472">
        <v>1142</v>
      </c>
      <c r="B147" s="472"/>
      <c r="C147" s="472"/>
      <c r="D147" s="472"/>
      <c r="E147" s="274"/>
      <c r="F147" s="274"/>
      <c r="G147" s="476"/>
      <c r="H147" s="483" t="str">
        <f t="shared" si="8"/>
        <v xml:space="preserve"> </v>
      </c>
      <c r="I147" s="471">
        <f t="shared" si="9"/>
        <v>1142</v>
      </c>
      <c r="J147" s="471">
        <f t="shared" si="10"/>
        <v>0</v>
      </c>
      <c r="K147">
        <f t="shared" si="11"/>
        <v>1</v>
      </c>
    </row>
    <row r="148" spans="1:11" x14ac:dyDescent="0.2">
      <c r="A148" s="472">
        <v>1143</v>
      </c>
      <c r="B148" s="472"/>
      <c r="C148" s="472"/>
      <c r="D148" s="472"/>
      <c r="E148" s="274"/>
      <c r="F148" s="274"/>
      <c r="G148" s="476"/>
      <c r="H148" s="483" t="str">
        <f t="shared" si="8"/>
        <v xml:space="preserve"> </v>
      </c>
      <c r="I148" s="471">
        <f t="shared" si="9"/>
        <v>1143</v>
      </c>
      <c r="J148" s="471">
        <f t="shared" si="10"/>
        <v>0</v>
      </c>
      <c r="K148">
        <f t="shared" si="11"/>
        <v>1</v>
      </c>
    </row>
    <row r="149" spans="1:11" x14ac:dyDescent="0.2">
      <c r="A149" s="472">
        <v>1144</v>
      </c>
      <c r="B149" s="472"/>
      <c r="C149" s="472"/>
      <c r="D149" s="472"/>
      <c r="E149" s="274"/>
      <c r="F149" s="274"/>
      <c r="G149" s="476"/>
      <c r="H149" s="483" t="str">
        <f t="shared" si="8"/>
        <v xml:space="preserve"> </v>
      </c>
      <c r="I149" s="471">
        <f t="shared" si="9"/>
        <v>1144</v>
      </c>
      <c r="J149" s="471">
        <f t="shared" si="10"/>
        <v>0</v>
      </c>
      <c r="K149">
        <f t="shared" si="11"/>
        <v>1</v>
      </c>
    </row>
    <row r="150" spans="1:11" x14ac:dyDescent="0.2">
      <c r="A150" s="472">
        <v>1145</v>
      </c>
      <c r="B150" s="472"/>
      <c r="C150" s="472"/>
      <c r="D150" s="472"/>
      <c r="E150" s="274"/>
      <c r="F150" s="274"/>
      <c r="G150" s="476"/>
      <c r="H150" s="483" t="str">
        <f t="shared" si="8"/>
        <v xml:space="preserve"> </v>
      </c>
      <c r="I150" s="471">
        <f t="shared" si="9"/>
        <v>1145</v>
      </c>
      <c r="J150" s="471">
        <f t="shared" si="10"/>
        <v>0</v>
      </c>
      <c r="K150">
        <f t="shared" si="11"/>
        <v>1</v>
      </c>
    </row>
    <row r="151" spans="1:11" x14ac:dyDescent="0.2">
      <c r="A151" s="472">
        <v>1146</v>
      </c>
      <c r="B151" s="472"/>
      <c r="C151" s="472"/>
      <c r="D151" s="472"/>
      <c r="E151" s="274"/>
      <c r="F151" s="274"/>
      <c r="G151" s="476"/>
      <c r="H151" s="483" t="str">
        <f t="shared" si="8"/>
        <v xml:space="preserve"> </v>
      </c>
      <c r="I151" s="471">
        <f t="shared" si="9"/>
        <v>1146</v>
      </c>
      <c r="J151" s="471">
        <f t="shared" si="10"/>
        <v>0</v>
      </c>
      <c r="K151">
        <f t="shared" si="11"/>
        <v>1</v>
      </c>
    </row>
    <row r="152" spans="1:11" x14ac:dyDescent="0.2">
      <c r="A152" s="472">
        <v>1147</v>
      </c>
      <c r="B152" s="475" t="s">
        <v>410</v>
      </c>
      <c r="C152" s="472"/>
      <c r="D152" s="472"/>
      <c r="E152" s="274"/>
      <c r="F152" s="274"/>
      <c r="G152" s="476"/>
      <c r="H152" s="483" t="str">
        <f t="shared" si="8"/>
        <v xml:space="preserve">Did Not Shoot </v>
      </c>
      <c r="I152" s="471">
        <f t="shared" si="9"/>
        <v>1147</v>
      </c>
      <c r="J152" s="471">
        <f t="shared" si="10"/>
        <v>0</v>
      </c>
      <c r="K152">
        <f t="shared" si="11"/>
        <v>14</v>
      </c>
    </row>
    <row r="153" spans="1:11" x14ac:dyDescent="0.2">
      <c r="A153" s="472">
        <v>1148</v>
      </c>
      <c r="B153" s="472"/>
      <c r="C153" s="472"/>
      <c r="D153" s="472"/>
      <c r="E153" s="274"/>
      <c r="F153" s="274"/>
      <c r="G153" s="476"/>
      <c r="H153" s="483" t="str">
        <f t="shared" si="8"/>
        <v xml:space="preserve"> </v>
      </c>
      <c r="I153" s="471">
        <f t="shared" si="9"/>
        <v>1148</v>
      </c>
      <c r="J153" s="471">
        <f t="shared" si="10"/>
        <v>0</v>
      </c>
      <c r="K153">
        <f t="shared" si="11"/>
        <v>1</v>
      </c>
    </row>
    <row r="154" spans="1:11" x14ac:dyDescent="0.2">
      <c r="A154" s="472">
        <v>1149</v>
      </c>
      <c r="B154" s="472"/>
      <c r="C154" s="472"/>
      <c r="D154" s="472"/>
      <c r="E154" s="274"/>
      <c r="F154" s="274"/>
      <c r="G154" s="476"/>
      <c r="H154" s="483" t="str">
        <f t="shared" si="8"/>
        <v xml:space="preserve"> </v>
      </c>
      <c r="I154" s="471">
        <f t="shared" si="9"/>
        <v>1149</v>
      </c>
      <c r="J154" s="471">
        <f t="shared" si="10"/>
        <v>0</v>
      </c>
      <c r="K154">
        <f t="shared" si="11"/>
        <v>1</v>
      </c>
    </row>
    <row r="155" spans="1:11" x14ac:dyDescent="0.2">
      <c r="A155" s="472">
        <v>1150</v>
      </c>
      <c r="B155" s="472"/>
      <c r="C155" s="472"/>
      <c r="D155" s="472"/>
      <c r="E155" s="274"/>
      <c r="F155" s="274"/>
      <c r="G155" s="476"/>
      <c r="H155" s="483" t="str">
        <f t="shared" si="8"/>
        <v xml:space="preserve"> </v>
      </c>
      <c r="I155" s="471">
        <f t="shared" si="9"/>
        <v>1150</v>
      </c>
      <c r="J155" s="471">
        <f t="shared" si="10"/>
        <v>0</v>
      </c>
      <c r="K155">
        <f t="shared" si="11"/>
        <v>1</v>
      </c>
    </row>
    <row r="156" spans="1:11" x14ac:dyDescent="0.2">
      <c r="A156" s="472">
        <v>1151</v>
      </c>
      <c r="B156" s="472"/>
      <c r="C156" s="472"/>
      <c r="D156" s="472"/>
      <c r="E156" s="274"/>
      <c r="F156" s="274"/>
      <c r="G156" s="476"/>
      <c r="H156" s="483" t="str">
        <f t="shared" si="8"/>
        <v xml:space="preserve"> </v>
      </c>
      <c r="I156" s="471">
        <f t="shared" si="9"/>
        <v>1151</v>
      </c>
      <c r="J156" s="471">
        <f t="shared" si="10"/>
        <v>0</v>
      </c>
      <c r="K156">
        <f t="shared" si="11"/>
        <v>1</v>
      </c>
    </row>
    <row r="157" spans="1:11" x14ac:dyDescent="0.2">
      <c r="A157" s="472">
        <v>1152</v>
      </c>
      <c r="B157" s="472"/>
      <c r="C157" s="472"/>
      <c r="D157" s="472"/>
      <c r="E157" s="274"/>
      <c r="F157" s="274"/>
      <c r="G157" s="476"/>
      <c r="H157" s="483" t="str">
        <f t="shared" si="8"/>
        <v xml:space="preserve"> </v>
      </c>
      <c r="I157" s="471">
        <f t="shared" si="9"/>
        <v>1152</v>
      </c>
      <c r="J157" s="471">
        <f t="shared" si="10"/>
        <v>0</v>
      </c>
      <c r="K157">
        <f t="shared" si="11"/>
        <v>1</v>
      </c>
    </row>
    <row r="158" spans="1:11" x14ac:dyDescent="0.2">
      <c r="A158" s="472">
        <v>1153</v>
      </c>
      <c r="B158" s="472"/>
      <c r="C158" s="472"/>
      <c r="D158" s="472"/>
      <c r="E158" s="274"/>
      <c r="F158" s="274"/>
      <c r="G158" s="476"/>
      <c r="H158" s="483" t="str">
        <f t="shared" si="8"/>
        <v xml:space="preserve"> </v>
      </c>
      <c r="I158" s="471">
        <f t="shared" si="9"/>
        <v>1153</v>
      </c>
      <c r="J158" s="471">
        <f t="shared" si="10"/>
        <v>0</v>
      </c>
      <c r="K158">
        <f t="shared" si="11"/>
        <v>1</v>
      </c>
    </row>
    <row r="159" spans="1:11" x14ac:dyDescent="0.2">
      <c r="A159" s="472">
        <v>1154</v>
      </c>
      <c r="B159" s="472"/>
      <c r="C159" s="472"/>
      <c r="D159" s="472"/>
      <c r="E159" s="274"/>
      <c r="F159" s="274"/>
      <c r="G159" s="476"/>
      <c r="H159" s="483" t="str">
        <f t="shared" si="8"/>
        <v xml:space="preserve"> </v>
      </c>
      <c r="I159" s="471">
        <f t="shared" si="9"/>
        <v>1154</v>
      </c>
      <c r="J159" s="471">
        <f t="shared" si="10"/>
        <v>0</v>
      </c>
      <c r="K159">
        <f t="shared" si="11"/>
        <v>1</v>
      </c>
    </row>
    <row r="160" spans="1:11" x14ac:dyDescent="0.2">
      <c r="A160" s="472">
        <v>1155</v>
      </c>
      <c r="B160" s="472"/>
      <c r="C160" s="472"/>
      <c r="D160" s="472"/>
      <c r="E160" s="274"/>
      <c r="F160" s="274"/>
      <c r="G160" s="476"/>
      <c r="H160" s="483" t="str">
        <f t="shared" si="8"/>
        <v xml:space="preserve"> </v>
      </c>
      <c r="I160" s="471">
        <f t="shared" si="9"/>
        <v>1155</v>
      </c>
      <c r="J160" s="471">
        <f t="shared" si="10"/>
        <v>0</v>
      </c>
      <c r="K160">
        <f t="shared" si="11"/>
        <v>1</v>
      </c>
    </row>
    <row r="161" spans="1:11" x14ac:dyDescent="0.2">
      <c r="A161" s="472">
        <v>1156</v>
      </c>
      <c r="B161" s="472"/>
      <c r="C161" s="472"/>
      <c r="D161" s="472"/>
      <c r="E161" s="274"/>
      <c r="F161" s="274"/>
      <c r="G161" s="476"/>
      <c r="H161" s="483" t="str">
        <f t="shared" si="8"/>
        <v xml:space="preserve"> </v>
      </c>
      <c r="I161" s="471">
        <f t="shared" si="9"/>
        <v>1156</v>
      </c>
      <c r="J161" s="471">
        <f t="shared" si="10"/>
        <v>0</v>
      </c>
      <c r="K161">
        <f t="shared" si="11"/>
        <v>1</v>
      </c>
    </row>
    <row r="162" spans="1:11" x14ac:dyDescent="0.2">
      <c r="A162" s="472">
        <v>1157</v>
      </c>
      <c r="B162" s="472"/>
      <c r="C162" s="472"/>
      <c r="D162" s="472"/>
      <c r="E162" s="274"/>
      <c r="F162" s="274"/>
      <c r="G162" s="476"/>
      <c r="H162" s="483" t="str">
        <f t="shared" si="8"/>
        <v xml:space="preserve"> </v>
      </c>
      <c r="I162" s="471">
        <f t="shared" si="9"/>
        <v>1157</v>
      </c>
      <c r="J162" s="471">
        <f t="shared" si="10"/>
        <v>0</v>
      </c>
      <c r="K162">
        <f t="shared" si="11"/>
        <v>1</v>
      </c>
    </row>
    <row r="163" spans="1:11" x14ac:dyDescent="0.2">
      <c r="A163" s="472">
        <v>1158</v>
      </c>
      <c r="B163" s="472"/>
      <c r="C163" s="472"/>
      <c r="D163" s="472"/>
      <c r="E163" s="274"/>
      <c r="F163" s="274"/>
      <c r="G163" s="476"/>
      <c r="H163" s="483" t="str">
        <f t="shared" si="8"/>
        <v xml:space="preserve"> </v>
      </c>
      <c r="I163" s="471">
        <f t="shared" si="9"/>
        <v>1158</v>
      </c>
      <c r="J163" s="471">
        <f t="shared" si="10"/>
        <v>0</v>
      </c>
      <c r="K163">
        <f t="shared" si="11"/>
        <v>1</v>
      </c>
    </row>
    <row r="164" spans="1:11" x14ac:dyDescent="0.2">
      <c r="A164" s="472">
        <v>1159</v>
      </c>
      <c r="B164" s="472"/>
      <c r="C164" s="472"/>
      <c r="D164" s="472"/>
      <c r="E164" s="274"/>
      <c r="F164" s="274"/>
      <c r="G164" s="476"/>
      <c r="H164" s="483" t="str">
        <f t="shared" si="8"/>
        <v xml:space="preserve"> </v>
      </c>
      <c r="I164" s="471">
        <f t="shared" si="9"/>
        <v>1159</v>
      </c>
      <c r="J164" s="471">
        <f t="shared" si="10"/>
        <v>0</v>
      </c>
      <c r="K164">
        <f t="shared" si="11"/>
        <v>1</v>
      </c>
    </row>
    <row r="165" spans="1:11" x14ac:dyDescent="0.2">
      <c r="A165" s="472">
        <v>1160</v>
      </c>
      <c r="B165" s="472"/>
      <c r="C165" s="472"/>
      <c r="D165" s="472"/>
      <c r="E165" s="274"/>
      <c r="F165" s="274"/>
      <c r="G165" s="476"/>
      <c r="H165" s="483" t="str">
        <f t="shared" si="8"/>
        <v xml:space="preserve"> </v>
      </c>
      <c r="I165" s="471">
        <f t="shared" si="9"/>
        <v>1160</v>
      </c>
      <c r="J165" s="471">
        <f t="shared" si="10"/>
        <v>0</v>
      </c>
      <c r="K165">
        <f t="shared" si="11"/>
        <v>1</v>
      </c>
    </row>
    <row r="166" spans="1:11" x14ac:dyDescent="0.2">
      <c r="A166" s="472">
        <v>1161</v>
      </c>
      <c r="B166" s="472"/>
      <c r="C166" s="472"/>
      <c r="D166" s="472"/>
      <c r="E166" s="274"/>
      <c r="F166" s="274"/>
      <c r="G166" s="476"/>
      <c r="H166" s="483" t="str">
        <f t="shared" si="8"/>
        <v xml:space="preserve"> </v>
      </c>
      <c r="I166" s="471">
        <f t="shared" si="9"/>
        <v>1161</v>
      </c>
      <c r="J166" s="471">
        <f t="shared" si="10"/>
        <v>0</v>
      </c>
      <c r="K166">
        <f t="shared" si="11"/>
        <v>1</v>
      </c>
    </row>
    <row r="167" spans="1:11" x14ac:dyDescent="0.2">
      <c r="A167" s="472">
        <v>1162</v>
      </c>
      <c r="B167" s="472"/>
      <c r="C167" s="472"/>
      <c r="D167" s="472"/>
      <c r="E167" s="274"/>
      <c r="F167" s="274"/>
      <c r="G167" s="476"/>
      <c r="H167" s="483" t="str">
        <f t="shared" si="8"/>
        <v xml:space="preserve"> </v>
      </c>
      <c r="I167" s="471">
        <f t="shared" si="9"/>
        <v>1162</v>
      </c>
      <c r="J167" s="471">
        <f t="shared" si="10"/>
        <v>0</v>
      </c>
      <c r="K167">
        <f t="shared" si="11"/>
        <v>1</v>
      </c>
    </row>
    <row r="168" spans="1:11" x14ac:dyDescent="0.2">
      <c r="A168" s="472">
        <v>1163</v>
      </c>
      <c r="B168" s="472"/>
      <c r="C168" s="472"/>
      <c r="D168" s="472"/>
      <c r="E168" s="274"/>
      <c r="F168" s="274"/>
      <c r="G168" s="476"/>
      <c r="H168" s="483" t="str">
        <f t="shared" si="8"/>
        <v xml:space="preserve"> </v>
      </c>
      <c r="I168" s="471">
        <f t="shared" si="9"/>
        <v>1163</v>
      </c>
      <c r="J168" s="471">
        <f t="shared" si="10"/>
        <v>0</v>
      </c>
      <c r="K168">
        <f t="shared" si="11"/>
        <v>1</v>
      </c>
    </row>
    <row r="169" spans="1:11" x14ac:dyDescent="0.2">
      <c r="A169" s="472">
        <v>1164</v>
      </c>
      <c r="B169" s="472"/>
      <c r="C169" s="472"/>
      <c r="D169" s="472"/>
      <c r="E169" s="274"/>
      <c r="F169" s="274"/>
      <c r="G169" s="476"/>
      <c r="H169" s="483" t="str">
        <f t="shared" si="8"/>
        <v xml:space="preserve"> </v>
      </c>
      <c r="I169" s="471">
        <f t="shared" si="9"/>
        <v>1164</v>
      </c>
      <c r="J169" s="471">
        <f t="shared" si="10"/>
        <v>0</v>
      </c>
      <c r="K169">
        <f t="shared" si="11"/>
        <v>1</v>
      </c>
    </row>
    <row r="170" spans="1:11" x14ac:dyDescent="0.2">
      <c r="A170" s="472">
        <v>1165</v>
      </c>
      <c r="B170" s="472"/>
      <c r="C170" s="472"/>
      <c r="D170" s="472"/>
      <c r="E170" s="274"/>
      <c r="F170" s="274"/>
      <c r="G170" s="476"/>
      <c r="H170" s="483" t="str">
        <f t="shared" si="8"/>
        <v xml:space="preserve"> </v>
      </c>
      <c r="I170" s="471">
        <f t="shared" si="9"/>
        <v>1165</v>
      </c>
      <c r="J170" s="471">
        <f t="shared" si="10"/>
        <v>0</v>
      </c>
      <c r="K170">
        <f t="shared" si="11"/>
        <v>1</v>
      </c>
    </row>
    <row r="171" spans="1:11" x14ac:dyDescent="0.2">
      <c r="A171" s="472">
        <v>1166</v>
      </c>
      <c r="B171" s="472"/>
      <c r="C171" s="472"/>
      <c r="D171" s="472"/>
      <c r="E171" s="274"/>
      <c r="F171" s="274"/>
      <c r="G171" s="476"/>
      <c r="H171" s="483" t="str">
        <f t="shared" si="8"/>
        <v xml:space="preserve"> </v>
      </c>
      <c r="I171" s="471">
        <f t="shared" si="9"/>
        <v>1166</v>
      </c>
      <c r="J171" s="471">
        <f t="shared" si="10"/>
        <v>0</v>
      </c>
      <c r="K171">
        <f t="shared" si="11"/>
        <v>1</v>
      </c>
    </row>
    <row r="172" spans="1:11" x14ac:dyDescent="0.2">
      <c r="A172" s="472">
        <v>1167</v>
      </c>
      <c r="B172" s="472"/>
      <c r="C172" s="472"/>
      <c r="D172" s="472"/>
      <c r="E172" s="274"/>
      <c r="F172" s="274"/>
      <c r="G172" s="476"/>
      <c r="H172" s="483" t="str">
        <f t="shared" si="8"/>
        <v xml:space="preserve"> </v>
      </c>
      <c r="I172" s="471">
        <f t="shared" si="9"/>
        <v>1167</v>
      </c>
      <c r="J172" s="471">
        <f t="shared" si="10"/>
        <v>0</v>
      </c>
      <c r="K172">
        <f t="shared" si="11"/>
        <v>1</v>
      </c>
    </row>
    <row r="173" spans="1:11" x14ac:dyDescent="0.2">
      <c r="A173" s="472">
        <v>1168</v>
      </c>
      <c r="B173" s="472"/>
      <c r="C173" s="472"/>
      <c r="D173" s="472"/>
      <c r="E173" s="274"/>
      <c r="F173" s="274"/>
      <c r="G173" s="476"/>
      <c r="H173" s="483" t="str">
        <f t="shared" si="8"/>
        <v xml:space="preserve"> </v>
      </c>
      <c r="I173" s="471">
        <f t="shared" si="9"/>
        <v>1168</v>
      </c>
      <c r="J173" s="471">
        <f t="shared" si="10"/>
        <v>0</v>
      </c>
      <c r="K173">
        <f t="shared" si="11"/>
        <v>1</v>
      </c>
    </row>
    <row r="174" spans="1:11" x14ac:dyDescent="0.2">
      <c r="A174" s="472">
        <v>1169</v>
      </c>
      <c r="B174" s="472"/>
      <c r="C174" s="472"/>
      <c r="D174" s="472"/>
      <c r="E174" s="274"/>
      <c r="F174" s="274"/>
      <c r="G174" s="476"/>
      <c r="H174" s="483" t="str">
        <f t="shared" si="8"/>
        <v xml:space="preserve"> </v>
      </c>
      <c r="I174" s="471">
        <f t="shared" si="9"/>
        <v>1169</v>
      </c>
      <c r="J174" s="471">
        <f t="shared" si="10"/>
        <v>0</v>
      </c>
      <c r="K174">
        <f t="shared" si="11"/>
        <v>1</v>
      </c>
    </row>
    <row r="175" spans="1:11" x14ac:dyDescent="0.2">
      <c r="A175" s="472">
        <v>1170</v>
      </c>
      <c r="B175" s="472"/>
      <c r="C175" s="472"/>
      <c r="D175" s="472"/>
      <c r="E175" s="274"/>
      <c r="F175" s="274"/>
      <c r="G175" s="476"/>
      <c r="H175" s="483" t="str">
        <f t="shared" si="8"/>
        <v xml:space="preserve"> </v>
      </c>
      <c r="I175" s="471">
        <f t="shared" si="9"/>
        <v>1170</v>
      </c>
      <c r="J175" s="471">
        <f t="shared" si="10"/>
        <v>0</v>
      </c>
      <c r="K175">
        <f t="shared" si="11"/>
        <v>1</v>
      </c>
    </row>
    <row r="176" spans="1:11" x14ac:dyDescent="0.2">
      <c r="A176" s="472">
        <v>1171</v>
      </c>
      <c r="B176" s="472"/>
      <c r="C176" s="472"/>
      <c r="D176" s="472"/>
      <c r="E176" s="274"/>
      <c r="F176" s="274"/>
      <c r="G176" s="476"/>
      <c r="H176" s="483" t="str">
        <f t="shared" si="8"/>
        <v xml:space="preserve"> </v>
      </c>
      <c r="I176" s="471">
        <f t="shared" si="9"/>
        <v>1171</v>
      </c>
      <c r="J176" s="471">
        <f t="shared" si="10"/>
        <v>0</v>
      </c>
      <c r="K176">
        <f t="shared" si="11"/>
        <v>1</v>
      </c>
    </row>
    <row r="177" spans="1:11" x14ac:dyDescent="0.2">
      <c r="A177" s="472">
        <v>1172</v>
      </c>
      <c r="B177" s="472"/>
      <c r="C177" s="472"/>
      <c r="D177" s="472"/>
      <c r="E177" s="274"/>
      <c r="F177" s="274"/>
      <c r="G177" s="476"/>
      <c r="H177" s="483" t="str">
        <f t="shared" si="8"/>
        <v xml:space="preserve"> </v>
      </c>
      <c r="I177" s="471">
        <f t="shared" si="9"/>
        <v>1172</v>
      </c>
      <c r="J177" s="471">
        <f t="shared" si="10"/>
        <v>0</v>
      </c>
      <c r="K177">
        <f t="shared" si="11"/>
        <v>1</v>
      </c>
    </row>
    <row r="178" spans="1:11" x14ac:dyDescent="0.2">
      <c r="A178" s="472">
        <v>1173</v>
      </c>
      <c r="B178" s="472"/>
      <c r="C178" s="472"/>
      <c r="D178" s="472"/>
      <c r="E178" s="274"/>
      <c r="F178" s="274"/>
      <c r="G178" s="476"/>
      <c r="H178" s="483" t="str">
        <f t="shared" si="8"/>
        <v xml:space="preserve"> </v>
      </c>
      <c r="I178" s="471">
        <f t="shared" si="9"/>
        <v>1173</v>
      </c>
      <c r="J178" s="471">
        <f t="shared" si="10"/>
        <v>0</v>
      </c>
      <c r="K178">
        <f t="shared" si="11"/>
        <v>1</v>
      </c>
    </row>
    <row r="179" spans="1:11" x14ac:dyDescent="0.2">
      <c r="A179" s="472">
        <v>1174</v>
      </c>
      <c r="B179" s="472"/>
      <c r="C179" s="472"/>
      <c r="D179" s="472"/>
      <c r="E179" s="274"/>
      <c r="F179" s="274"/>
      <c r="G179" s="476"/>
      <c r="H179" s="483" t="str">
        <f t="shared" si="8"/>
        <v xml:space="preserve"> </v>
      </c>
      <c r="I179" s="471">
        <f t="shared" si="9"/>
        <v>1174</v>
      </c>
      <c r="J179" s="471">
        <f t="shared" si="10"/>
        <v>0</v>
      </c>
      <c r="K179">
        <f t="shared" si="11"/>
        <v>1</v>
      </c>
    </row>
    <row r="180" spans="1:11" x14ac:dyDescent="0.2">
      <c r="A180" s="472">
        <v>1175</v>
      </c>
      <c r="B180" s="472"/>
      <c r="C180" s="472"/>
      <c r="D180" s="472"/>
      <c r="E180" s="274"/>
      <c r="F180" s="274"/>
      <c r="G180" s="476"/>
      <c r="H180" s="483" t="str">
        <f t="shared" si="8"/>
        <v xml:space="preserve"> </v>
      </c>
      <c r="I180" s="471">
        <f t="shared" si="9"/>
        <v>1175</v>
      </c>
      <c r="J180" s="471">
        <f t="shared" si="10"/>
        <v>0</v>
      </c>
      <c r="K180">
        <f t="shared" si="11"/>
        <v>1</v>
      </c>
    </row>
    <row r="181" spans="1:11" x14ac:dyDescent="0.2">
      <c r="A181" s="472">
        <v>1176</v>
      </c>
      <c r="B181" s="472"/>
      <c r="C181" s="472"/>
      <c r="D181" s="472"/>
      <c r="E181" s="274"/>
      <c r="F181" s="274"/>
      <c r="G181" s="476"/>
      <c r="H181" s="483" t="str">
        <f t="shared" si="8"/>
        <v xml:space="preserve"> </v>
      </c>
      <c r="I181" s="471">
        <f t="shared" si="9"/>
        <v>1176</v>
      </c>
      <c r="J181" s="471">
        <f t="shared" si="10"/>
        <v>0</v>
      </c>
      <c r="K181">
        <f t="shared" si="11"/>
        <v>1</v>
      </c>
    </row>
    <row r="182" spans="1:11" x14ac:dyDescent="0.2">
      <c r="A182" s="472">
        <v>1177</v>
      </c>
      <c r="B182" s="472"/>
      <c r="C182" s="472"/>
      <c r="D182" s="472"/>
      <c r="E182" s="274"/>
      <c r="F182" s="274"/>
      <c r="G182" s="476"/>
      <c r="H182" s="483" t="str">
        <f t="shared" si="8"/>
        <v xml:space="preserve"> </v>
      </c>
      <c r="I182" s="471">
        <f t="shared" si="9"/>
        <v>1177</v>
      </c>
      <c r="J182" s="471">
        <f t="shared" si="10"/>
        <v>0</v>
      </c>
      <c r="K182">
        <f t="shared" si="11"/>
        <v>1</v>
      </c>
    </row>
    <row r="183" spans="1:11" x14ac:dyDescent="0.2">
      <c r="A183" s="472">
        <v>1178</v>
      </c>
      <c r="B183" s="472"/>
      <c r="C183" s="472"/>
      <c r="D183" s="472"/>
      <c r="E183" s="274"/>
      <c r="F183" s="274"/>
      <c r="G183" s="476"/>
      <c r="H183" s="483" t="str">
        <f t="shared" si="8"/>
        <v xml:space="preserve"> </v>
      </c>
      <c r="I183" s="471">
        <f t="shared" si="9"/>
        <v>1178</v>
      </c>
      <c r="J183" s="471">
        <f t="shared" si="10"/>
        <v>0</v>
      </c>
      <c r="K183">
        <f t="shared" si="11"/>
        <v>1</v>
      </c>
    </row>
    <row r="184" spans="1:11" x14ac:dyDescent="0.2">
      <c r="A184" s="472">
        <v>1179</v>
      </c>
      <c r="B184" s="472"/>
      <c r="C184" s="472"/>
      <c r="D184" s="472"/>
      <c r="E184" s="274"/>
      <c r="F184" s="274"/>
      <c r="G184" s="476"/>
      <c r="H184" s="483" t="str">
        <f t="shared" si="8"/>
        <v xml:space="preserve"> </v>
      </c>
      <c r="I184" s="471">
        <f t="shared" si="9"/>
        <v>1179</v>
      </c>
      <c r="J184" s="471">
        <f t="shared" si="10"/>
        <v>0</v>
      </c>
      <c r="K184">
        <f t="shared" si="11"/>
        <v>1</v>
      </c>
    </row>
    <row r="185" spans="1:11" x14ac:dyDescent="0.2">
      <c r="A185" s="472">
        <v>1180</v>
      </c>
      <c r="B185" s="472"/>
      <c r="C185" s="472"/>
      <c r="D185" s="472"/>
      <c r="E185" s="274"/>
      <c r="F185" s="274"/>
      <c r="G185" s="476"/>
      <c r="H185" s="483" t="str">
        <f t="shared" si="8"/>
        <v xml:space="preserve"> </v>
      </c>
      <c r="I185" s="471">
        <f t="shared" si="9"/>
        <v>1180</v>
      </c>
      <c r="J185" s="471">
        <f t="shared" si="10"/>
        <v>0</v>
      </c>
      <c r="K185">
        <f t="shared" si="11"/>
        <v>1</v>
      </c>
    </row>
    <row r="186" spans="1:11" x14ac:dyDescent="0.2">
      <c r="A186" s="472">
        <v>1181</v>
      </c>
      <c r="B186" s="472"/>
      <c r="C186" s="472"/>
      <c r="D186" s="472"/>
      <c r="E186" s="274"/>
      <c r="F186" s="274"/>
      <c r="G186" s="476"/>
      <c r="H186" s="483" t="str">
        <f t="shared" si="8"/>
        <v xml:space="preserve"> </v>
      </c>
      <c r="I186" s="471">
        <f t="shared" si="9"/>
        <v>1181</v>
      </c>
      <c r="J186" s="471">
        <f t="shared" si="10"/>
        <v>0</v>
      </c>
      <c r="K186">
        <f t="shared" si="11"/>
        <v>1</v>
      </c>
    </row>
    <row r="187" spans="1:11" x14ac:dyDescent="0.2">
      <c r="A187" s="472">
        <v>1182</v>
      </c>
      <c r="B187" s="472"/>
      <c r="C187" s="472"/>
      <c r="D187" s="472"/>
      <c r="E187" s="274"/>
      <c r="F187" s="274"/>
      <c r="G187" s="476"/>
      <c r="H187" s="483" t="str">
        <f t="shared" si="8"/>
        <v xml:space="preserve"> </v>
      </c>
      <c r="I187" s="471">
        <f t="shared" si="9"/>
        <v>1182</v>
      </c>
      <c r="J187" s="471">
        <f t="shared" si="10"/>
        <v>0</v>
      </c>
      <c r="K187">
        <f t="shared" si="11"/>
        <v>1</v>
      </c>
    </row>
    <row r="188" spans="1:11" x14ac:dyDescent="0.2">
      <c r="A188" s="472">
        <v>1183</v>
      </c>
      <c r="B188" s="472"/>
      <c r="C188" s="472"/>
      <c r="D188" s="472"/>
      <c r="E188" s="274"/>
      <c r="F188" s="274"/>
      <c r="G188" s="476"/>
      <c r="H188" s="483" t="str">
        <f t="shared" si="8"/>
        <v xml:space="preserve"> </v>
      </c>
      <c r="I188" s="471">
        <f t="shared" si="9"/>
        <v>1183</v>
      </c>
      <c r="J188" s="471">
        <f t="shared" si="10"/>
        <v>0</v>
      </c>
      <c r="K188">
        <f t="shared" si="11"/>
        <v>1</v>
      </c>
    </row>
    <row r="189" spans="1:11" x14ac:dyDescent="0.2">
      <c r="A189" s="472">
        <v>1184</v>
      </c>
      <c r="B189" s="472"/>
      <c r="C189" s="472"/>
      <c r="D189" s="472"/>
      <c r="E189" s="274"/>
      <c r="F189" s="274"/>
      <c r="G189" s="476"/>
      <c r="H189" s="483" t="str">
        <f t="shared" si="8"/>
        <v xml:space="preserve"> </v>
      </c>
      <c r="I189" s="471">
        <f t="shared" si="9"/>
        <v>1184</v>
      </c>
      <c r="J189" s="471">
        <f t="shared" si="10"/>
        <v>0</v>
      </c>
      <c r="K189">
        <f t="shared" si="11"/>
        <v>1</v>
      </c>
    </row>
    <row r="190" spans="1:11" x14ac:dyDescent="0.2">
      <c r="A190" s="472">
        <v>1185</v>
      </c>
      <c r="B190" s="472"/>
      <c r="C190" s="472"/>
      <c r="D190" s="472"/>
      <c r="E190" s="274"/>
      <c r="F190" s="274"/>
      <c r="G190" s="476"/>
      <c r="H190" s="483" t="str">
        <f t="shared" si="8"/>
        <v xml:space="preserve"> </v>
      </c>
      <c r="I190" s="471">
        <f t="shared" si="9"/>
        <v>1185</v>
      </c>
      <c r="J190" s="471">
        <f t="shared" si="10"/>
        <v>0</v>
      </c>
      <c r="K190">
        <f t="shared" si="11"/>
        <v>1</v>
      </c>
    </row>
    <row r="191" spans="1:11" x14ac:dyDescent="0.2">
      <c r="A191" s="472">
        <v>1186</v>
      </c>
      <c r="B191" s="472"/>
      <c r="C191" s="472"/>
      <c r="D191" s="472"/>
      <c r="E191" s="274"/>
      <c r="F191" s="274"/>
      <c r="G191" s="476"/>
      <c r="H191" s="483" t="str">
        <f t="shared" si="8"/>
        <v xml:space="preserve"> </v>
      </c>
      <c r="I191" s="471">
        <f t="shared" si="9"/>
        <v>1186</v>
      </c>
      <c r="J191" s="471">
        <f t="shared" si="10"/>
        <v>0</v>
      </c>
      <c r="K191">
        <f t="shared" si="11"/>
        <v>1</v>
      </c>
    </row>
    <row r="192" spans="1:11" x14ac:dyDescent="0.2">
      <c r="A192" s="472">
        <v>1187</v>
      </c>
      <c r="B192" s="472"/>
      <c r="C192" s="472"/>
      <c r="D192" s="472"/>
      <c r="E192" s="274"/>
      <c r="F192" s="274"/>
      <c r="G192" s="476"/>
      <c r="H192" s="483" t="str">
        <f t="shared" si="8"/>
        <v xml:space="preserve"> </v>
      </c>
      <c r="I192" s="471">
        <f t="shared" si="9"/>
        <v>1187</v>
      </c>
      <c r="J192" s="471">
        <f t="shared" si="10"/>
        <v>0</v>
      </c>
      <c r="K192">
        <f t="shared" si="11"/>
        <v>1</v>
      </c>
    </row>
    <row r="193" spans="1:11" x14ac:dyDescent="0.2">
      <c r="A193" s="472">
        <v>1188</v>
      </c>
      <c r="B193" s="472"/>
      <c r="C193" s="472"/>
      <c r="D193" s="472"/>
      <c r="E193" s="274"/>
      <c r="F193" s="274"/>
      <c r="G193" s="476"/>
      <c r="H193" s="483" t="str">
        <f t="shared" si="8"/>
        <v xml:space="preserve"> </v>
      </c>
      <c r="I193" s="471">
        <f t="shared" si="9"/>
        <v>1188</v>
      </c>
      <c r="J193" s="471">
        <f t="shared" si="10"/>
        <v>0</v>
      </c>
      <c r="K193">
        <f t="shared" si="11"/>
        <v>1</v>
      </c>
    </row>
    <row r="194" spans="1:11" x14ac:dyDescent="0.2">
      <c r="A194" s="472">
        <v>1189</v>
      </c>
      <c r="B194" s="472"/>
      <c r="C194" s="472"/>
      <c r="D194" s="472"/>
      <c r="E194" s="274"/>
      <c r="F194" s="274"/>
      <c r="G194" s="476"/>
      <c r="H194" s="483" t="str">
        <f t="shared" si="8"/>
        <v xml:space="preserve"> </v>
      </c>
      <c r="I194" s="471">
        <f t="shared" si="9"/>
        <v>1189</v>
      </c>
      <c r="J194" s="471">
        <f t="shared" si="10"/>
        <v>0</v>
      </c>
      <c r="K194">
        <f t="shared" si="11"/>
        <v>1</v>
      </c>
    </row>
    <row r="195" spans="1:11" x14ac:dyDescent="0.2">
      <c r="A195" s="472">
        <v>1190</v>
      </c>
      <c r="B195" s="472"/>
      <c r="C195" s="472"/>
      <c r="D195" s="472"/>
      <c r="E195" s="274"/>
      <c r="F195" s="274"/>
      <c r="G195" s="476"/>
      <c r="H195" s="483" t="str">
        <f t="shared" si="8"/>
        <v xml:space="preserve"> </v>
      </c>
      <c r="I195" s="471">
        <f t="shared" si="9"/>
        <v>1190</v>
      </c>
      <c r="J195" s="471">
        <f t="shared" si="10"/>
        <v>0</v>
      </c>
      <c r="K195">
        <f t="shared" si="11"/>
        <v>1</v>
      </c>
    </row>
    <row r="196" spans="1:11" x14ac:dyDescent="0.2">
      <c r="A196" s="472">
        <v>1191</v>
      </c>
      <c r="B196" s="472"/>
      <c r="C196" s="472"/>
      <c r="D196" s="472"/>
      <c r="E196" s="274"/>
      <c r="F196" s="274"/>
      <c r="G196" s="476"/>
      <c r="H196" s="483" t="str">
        <f t="shared" si="8"/>
        <v xml:space="preserve"> </v>
      </c>
      <c r="I196" s="471">
        <f t="shared" si="9"/>
        <v>1191</v>
      </c>
      <c r="J196" s="471">
        <f t="shared" si="10"/>
        <v>0</v>
      </c>
      <c r="K196">
        <f t="shared" si="11"/>
        <v>1</v>
      </c>
    </row>
    <row r="197" spans="1:11" x14ac:dyDescent="0.2">
      <c r="A197" s="472">
        <v>1192</v>
      </c>
      <c r="B197" s="472"/>
      <c r="C197" s="472"/>
      <c r="D197" s="472"/>
      <c r="E197" s="274"/>
      <c r="F197" s="274"/>
      <c r="G197" s="476"/>
      <c r="H197" s="483" t="str">
        <f t="shared" si="8"/>
        <v xml:space="preserve"> </v>
      </c>
      <c r="I197" s="471">
        <f t="shared" si="9"/>
        <v>1192</v>
      </c>
      <c r="J197" s="471">
        <f t="shared" si="10"/>
        <v>0</v>
      </c>
      <c r="K197">
        <f t="shared" si="11"/>
        <v>1</v>
      </c>
    </row>
    <row r="198" spans="1:11" x14ac:dyDescent="0.2">
      <c r="A198" s="472">
        <v>1193</v>
      </c>
      <c r="B198" s="472"/>
      <c r="C198" s="472"/>
      <c r="D198" s="472"/>
      <c r="E198" s="274"/>
      <c r="F198" s="274"/>
      <c r="G198" s="476"/>
      <c r="H198" s="483" t="str">
        <f t="shared" ref="H198:H261" si="12">CONCATENATE(B198," ",C198)</f>
        <v xml:space="preserve"> </v>
      </c>
      <c r="I198" s="471">
        <f t="shared" ref="I198:I261" si="13">A198</f>
        <v>1193</v>
      </c>
      <c r="J198" s="471">
        <f t="shared" ref="J198:J261" si="14">G198</f>
        <v>0</v>
      </c>
      <c r="K198">
        <f t="shared" ref="K198:K261" si="15">LEN(H198)</f>
        <v>1</v>
      </c>
    </row>
    <row r="199" spans="1:11" x14ac:dyDescent="0.2">
      <c r="A199" s="472">
        <v>1194</v>
      </c>
      <c r="B199" s="472"/>
      <c r="C199" s="472"/>
      <c r="D199" s="472"/>
      <c r="E199" s="274"/>
      <c r="F199" s="274"/>
      <c r="G199" s="476"/>
      <c r="H199" s="483" t="str">
        <f t="shared" si="12"/>
        <v xml:space="preserve"> </v>
      </c>
      <c r="I199" s="471">
        <f t="shared" si="13"/>
        <v>1194</v>
      </c>
      <c r="J199" s="471">
        <f t="shared" si="14"/>
        <v>0</v>
      </c>
      <c r="K199">
        <f t="shared" si="15"/>
        <v>1</v>
      </c>
    </row>
    <row r="200" spans="1:11" x14ac:dyDescent="0.2">
      <c r="A200" s="472">
        <v>1195</v>
      </c>
      <c r="B200" s="472"/>
      <c r="C200" s="472"/>
      <c r="D200" s="472"/>
      <c r="E200" s="274"/>
      <c r="F200" s="274"/>
      <c r="G200" s="476"/>
      <c r="H200" s="483" t="str">
        <f t="shared" si="12"/>
        <v xml:space="preserve"> </v>
      </c>
      <c r="I200" s="471">
        <f t="shared" si="13"/>
        <v>1195</v>
      </c>
      <c r="J200" s="471">
        <f t="shared" si="14"/>
        <v>0</v>
      </c>
      <c r="K200">
        <f t="shared" si="15"/>
        <v>1</v>
      </c>
    </row>
    <row r="201" spans="1:11" x14ac:dyDescent="0.2">
      <c r="A201" s="472">
        <v>1196</v>
      </c>
      <c r="B201" s="472"/>
      <c r="C201" s="472"/>
      <c r="D201" s="472"/>
      <c r="E201" s="274"/>
      <c r="F201" s="274"/>
      <c r="G201" s="476"/>
      <c r="H201" s="483" t="str">
        <f t="shared" si="12"/>
        <v xml:space="preserve"> </v>
      </c>
      <c r="I201" s="471">
        <f t="shared" si="13"/>
        <v>1196</v>
      </c>
      <c r="J201" s="471">
        <f t="shared" si="14"/>
        <v>0</v>
      </c>
      <c r="K201">
        <f t="shared" si="15"/>
        <v>1</v>
      </c>
    </row>
    <row r="202" spans="1:11" x14ac:dyDescent="0.2">
      <c r="A202" s="472">
        <v>1197</v>
      </c>
      <c r="B202" s="472"/>
      <c r="C202" s="472"/>
      <c r="D202" s="472"/>
      <c r="E202" s="274"/>
      <c r="F202" s="274"/>
      <c r="G202" s="476"/>
      <c r="H202" s="483" t="str">
        <f t="shared" si="12"/>
        <v xml:space="preserve"> </v>
      </c>
      <c r="I202" s="471">
        <f t="shared" si="13"/>
        <v>1197</v>
      </c>
      <c r="J202" s="471">
        <f t="shared" si="14"/>
        <v>0</v>
      </c>
      <c r="K202">
        <f t="shared" si="15"/>
        <v>1</v>
      </c>
    </row>
    <row r="203" spans="1:11" x14ac:dyDescent="0.2">
      <c r="A203" s="472">
        <v>1198</v>
      </c>
      <c r="B203" s="475" t="s">
        <v>410</v>
      </c>
      <c r="C203" s="472"/>
      <c r="D203" s="472"/>
      <c r="E203" s="274"/>
      <c r="F203" s="274"/>
      <c r="G203" s="476"/>
      <c r="H203" s="483" t="str">
        <f t="shared" si="12"/>
        <v xml:space="preserve">Did Not Shoot </v>
      </c>
      <c r="I203" s="471">
        <f t="shared" si="13"/>
        <v>1198</v>
      </c>
      <c r="J203" s="471">
        <f t="shared" si="14"/>
        <v>0</v>
      </c>
      <c r="K203">
        <f t="shared" si="15"/>
        <v>14</v>
      </c>
    </row>
    <row r="204" spans="1:11" x14ac:dyDescent="0.2">
      <c r="A204" s="472">
        <v>1199</v>
      </c>
      <c r="B204" s="475" t="s">
        <v>410</v>
      </c>
      <c r="C204" s="472"/>
      <c r="D204" s="472"/>
      <c r="E204" s="274"/>
      <c r="F204" s="274"/>
      <c r="G204" s="476"/>
      <c r="H204" s="483" t="str">
        <f t="shared" si="12"/>
        <v xml:space="preserve">Did Not Shoot </v>
      </c>
      <c r="I204" s="471">
        <f t="shared" si="13"/>
        <v>1199</v>
      </c>
      <c r="J204" s="471">
        <f t="shared" si="14"/>
        <v>0</v>
      </c>
      <c r="K204">
        <f t="shared" si="15"/>
        <v>14</v>
      </c>
    </row>
    <row r="205" spans="1:11" x14ac:dyDescent="0.2">
      <c r="A205" s="472">
        <v>1200</v>
      </c>
      <c r="B205" s="475" t="s">
        <v>410</v>
      </c>
      <c r="C205" s="472"/>
      <c r="D205" s="472"/>
      <c r="E205" s="274"/>
      <c r="F205" s="274"/>
      <c r="G205" s="476"/>
      <c r="H205" s="483" t="str">
        <f t="shared" si="12"/>
        <v xml:space="preserve">Did Not Shoot </v>
      </c>
      <c r="I205" s="471">
        <f t="shared" si="13"/>
        <v>1200</v>
      </c>
      <c r="J205" s="471">
        <f t="shared" si="14"/>
        <v>0</v>
      </c>
      <c r="K205">
        <f t="shared" si="15"/>
        <v>14</v>
      </c>
    </row>
    <row r="206" spans="1:11" x14ac:dyDescent="0.2">
      <c r="A206" s="472">
        <v>1201</v>
      </c>
      <c r="B206" s="472"/>
      <c r="C206" s="472"/>
      <c r="D206" s="472"/>
      <c r="E206" s="274"/>
      <c r="F206" s="274"/>
      <c r="G206" s="476"/>
      <c r="H206" s="483" t="str">
        <f t="shared" si="12"/>
        <v xml:space="preserve"> </v>
      </c>
      <c r="I206" s="471">
        <f t="shared" si="13"/>
        <v>1201</v>
      </c>
      <c r="J206" s="471">
        <f t="shared" si="14"/>
        <v>0</v>
      </c>
      <c r="K206">
        <f t="shared" si="15"/>
        <v>1</v>
      </c>
    </row>
    <row r="207" spans="1:11" x14ac:dyDescent="0.2">
      <c r="A207" s="472">
        <v>1202</v>
      </c>
      <c r="B207" s="472"/>
      <c r="C207" s="472"/>
      <c r="D207" s="472"/>
      <c r="E207" s="274"/>
      <c r="F207" s="274"/>
      <c r="G207" s="476"/>
      <c r="H207" s="483" t="str">
        <f t="shared" si="12"/>
        <v xml:space="preserve"> </v>
      </c>
      <c r="I207" s="471">
        <f t="shared" si="13"/>
        <v>1202</v>
      </c>
      <c r="J207" s="471">
        <f t="shared" si="14"/>
        <v>0</v>
      </c>
      <c r="K207">
        <f t="shared" si="15"/>
        <v>1</v>
      </c>
    </row>
    <row r="208" spans="1:11" x14ac:dyDescent="0.2">
      <c r="A208" s="472">
        <v>1203</v>
      </c>
      <c r="B208" s="472"/>
      <c r="C208" s="472"/>
      <c r="D208" s="472"/>
      <c r="E208" s="274"/>
      <c r="F208" s="274"/>
      <c r="G208" s="476"/>
      <c r="H208" s="483" t="str">
        <f t="shared" si="12"/>
        <v xml:space="preserve"> </v>
      </c>
      <c r="I208" s="471">
        <f t="shared" si="13"/>
        <v>1203</v>
      </c>
      <c r="J208" s="471">
        <f t="shared" si="14"/>
        <v>0</v>
      </c>
      <c r="K208">
        <f t="shared" si="15"/>
        <v>1</v>
      </c>
    </row>
    <row r="209" spans="1:11" x14ac:dyDescent="0.2">
      <c r="A209" s="472">
        <v>1204</v>
      </c>
      <c r="B209" s="472"/>
      <c r="C209" s="472"/>
      <c r="D209" s="472"/>
      <c r="E209" s="274"/>
      <c r="F209" s="274"/>
      <c r="G209" s="476"/>
      <c r="H209" s="483" t="str">
        <f t="shared" si="12"/>
        <v xml:space="preserve"> </v>
      </c>
      <c r="I209" s="471">
        <f t="shared" si="13"/>
        <v>1204</v>
      </c>
      <c r="J209" s="471">
        <f t="shared" si="14"/>
        <v>0</v>
      </c>
      <c r="K209">
        <f t="shared" si="15"/>
        <v>1</v>
      </c>
    </row>
    <row r="210" spans="1:11" x14ac:dyDescent="0.2">
      <c r="A210" s="472">
        <v>1205</v>
      </c>
      <c r="B210" s="472"/>
      <c r="C210" s="472"/>
      <c r="D210" s="472"/>
      <c r="E210" s="274"/>
      <c r="F210" s="274"/>
      <c r="G210" s="476"/>
      <c r="H210" s="483" t="str">
        <f t="shared" si="12"/>
        <v xml:space="preserve"> </v>
      </c>
      <c r="I210" s="471">
        <f t="shared" si="13"/>
        <v>1205</v>
      </c>
      <c r="J210" s="471">
        <f t="shared" si="14"/>
        <v>0</v>
      </c>
      <c r="K210">
        <f t="shared" si="15"/>
        <v>1</v>
      </c>
    </row>
    <row r="211" spans="1:11" x14ac:dyDescent="0.2">
      <c r="A211" s="472">
        <v>1206</v>
      </c>
      <c r="B211" s="472"/>
      <c r="C211" s="472"/>
      <c r="D211" s="472"/>
      <c r="E211" s="274"/>
      <c r="F211" s="274"/>
      <c r="G211" s="476"/>
      <c r="H211" s="483" t="str">
        <f t="shared" si="12"/>
        <v xml:space="preserve"> </v>
      </c>
      <c r="I211" s="471">
        <f t="shared" si="13"/>
        <v>1206</v>
      </c>
      <c r="J211" s="471">
        <f t="shared" si="14"/>
        <v>0</v>
      </c>
      <c r="K211">
        <f t="shared" si="15"/>
        <v>1</v>
      </c>
    </row>
    <row r="212" spans="1:11" x14ac:dyDescent="0.2">
      <c r="A212" s="472">
        <v>1207</v>
      </c>
      <c r="B212" s="472"/>
      <c r="C212" s="472"/>
      <c r="D212" s="472"/>
      <c r="E212" s="274"/>
      <c r="F212" s="274"/>
      <c r="G212" s="476"/>
      <c r="H212" s="483" t="str">
        <f t="shared" si="12"/>
        <v xml:space="preserve"> </v>
      </c>
      <c r="I212" s="471">
        <f t="shared" si="13"/>
        <v>1207</v>
      </c>
      <c r="J212" s="471">
        <f t="shared" si="14"/>
        <v>0</v>
      </c>
      <c r="K212">
        <f t="shared" si="15"/>
        <v>1</v>
      </c>
    </row>
    <row r="213" spans="1:11" x14ac:dyDescent="0.2">
      <c r="A213" s="472">
        <v>1208</v>
      </c>
      <c r="B213" s="472"/>
      <c r="C213" s="472"/>
      <c r="D213" s="472"/>
      <c r="E213" s="274"/>
      <c r="F213" s="274"/>
      <c r="G213" s="476"/>
      <c r="H213" s="483" t="str">
        <f t="shared" si="12"/>
        <v xml:space="preserve"> </v>
      </c>
      <c r="I213" s="471">
        <f t="shared" si="13"/>
        <v>1208</v>
      </c>
      <c r="J213" s="471">
        <f t="shared" si="14"/>
        <v>0</v>
      </c>
      <c r="K213">
        <f t="shared" si="15"/>
        <v>1</v>
      </c>
    </row>
    <row r="214" spans="1:11" x14ac:dyDescent="0.2">
      <c r="A214" s="472">
        <v>1209</v>
      </c>
      <c r="B214" s="475" t="s">
        <v>410</v>
      </c>
      <c r="C214" s="472"/>
      <c r="D214" s="472"/>
      <c r="E214" s="274"/>
      <c r="F214" s="274"/>
      <c r="G214" s="476"/>
      <c r="H214" s="483" t="str">
        <f t="shared" si="12"/>
        <v xml:space="preserve">Did Not Shoot </v>
      </c>
      <c r="I214" s="471">
        <f t="shared" si="13"/>
        <v>1209</v>
      </c>
      <c r="J214" s="471">
        <f t="shared" si="14"/>
        <v>0</v>
      </c>
      <c r="K214">
        <f t="shared" si="15"/>
        <v>14</v>
      </c>
    </row>
    <row r="215" spans="1:11" x14ac:dyDescent="0.2">
      <c r="A215" s="472">
        <v>1210</v>
      </c>
      <c r="B215" s="472"/>
      <c r="C215" s="472"/>
      <c r="D215" s="472"/>
      <c r="E215" s="274"/>
      <c r="F215" s="274"/>
      <c r="G215" s="476"/>
      <c r="H215" s="483" t="str">
        <f t="shared" si="12"/>
        <v xml:space="preserve"> </v>
      </c>
      <c r="I215" s="471">
        <f t="shared" si="13"/>
        <v>1210</v>
      </c>
      <c r="J215" s="471">
        <f t="shared" si="14"/>
        <v>0</v>
      </c>
      <c r="K215">
        <f t="shared" si="15"/>
        <v>1</v>
      </c>
    </row>
    <row r="216" spans="1:11" x14ac:dyDescent="0.2">
      <c r="A216" s="472">
        <v>1211</v>
      </c>
      <c r="B216" s="472"/>
      <c r="C216" s="472"/>
      <c r="D216" s="472"/>
      <c r="E216" s="274"/>
      <c r="F216" s="274"/>
      <c r="G216" s="476"/>
      <c r="H216" s="483" t="str">
        <f t="shared" si="12"/>
        <v xml:space="preserve"> </v>
      </c>
      <c r="I216" s="471">
        <f t="shared" si="13"/>
        <v>1211</v>
      </c>
      <c r="J216" s="471">
        <f t="shared" si="14"/>
        <v>0</v>
      </c>
      <c r="K216">
        <f t="shared" si="15"/>
        <v>1</v>
      </c>
    </row>
    <row r="217" spans="1:11" x14ac:dyDescent="0.2">
      <c r="A217" s="472">
        <v>1212</v>
      </c>
      <c r="B217" s="472"/>
      <c r="C217" s="472"/>
      <c r="D217" s="472"/>
      <c r="E217" s="274"/>
      <c r="F217" s="274"/>
      <c r="G217" s="476"/>
      <c r="H217" s="483" t="str">
        <f t="shared" si="12"/>
        <v xml:space="preserve"> </v>
      </c>
      <c r="I217" s="471">
        <f t="shared" si="13"/>
        <v>1212</v>
      </c>
      <c r="J217" s="471">
        <f t="shared" si="14"/>
        <v>0</v>
      </c>
      <c r="K217">
        <f t="shared" si="15"/>
        <v>1</v>
      </c>
    </row>
    <row r="218" spans="1:11" x14ac:dyDescent="0.2">
      <c r="A218" s="472">
        <v>1213</v>
      </c>
      <c r="B218" s="472"/>
      <c r="C218" s="472"/>
      <c r="D218" s="472"/>
      <c r="E218" s="274"/>
      <c r="F218" s="274"/>
      <c r="G218" s="476"/>
      <c r="H218" s="483" t="str">
        <f t="shared" si="12"/>
        <v xml:space="preserve"> </v>
      </c>
      <c r="I218" s="471">
        <f t="shared" si="13"/>
        <v>1213</v>
      </c>
      <c r="J218" s="471">
        <f t="shared" si="14"/>
        <v>0</v>
      </c>
      <c r="K218">
        <f t="shared" si="15"/>
        <v>1</v>
      </c>
    </row>
    <row r="219" spans="1:11" x14ac:dyDescent="0.2">
      <c r="A219" s="472">
        <v>1214</v>
      </c>
      <c r="B219" s="472"/>
      <c r="C219" s="472"/>
      <c r="D219" s="472"/>
      <c r="E219" s="274"/>
      <c r="F219" s="274"/>
      <c r="G219" s="476"/>
      <c r="H219" s="483" t="str">
        <f t="shared" si="12"/>
        <v xml:space="preserve"> </v>
      </c>
      <c r="I219" s="471">
        <f t="shared" si="13"/>
        <v>1214</v>
      </c>
      <c r="J219" s="471">
        <f t="shared" si="14"/>
        <v>0</v>
      </c>
      <c r="K219">
        <f t="shared" si="15"/>
        <v>1</v>
      </c>
    </row>
    <row r="220" spans="1:11" x14ac:dyDescent="0.2">
      <c r="A220" s="472">
        <v>1215</v>
      </c>
      <c r="B220" s="472"/>
      <c r="C220" s="472"/>
      <c r="D220" s="472"/>
      <c r="E220" s="274"/>
      <c r="F220" s="274"/>
      <c r="G220" s="476"/>
      <c r="H220" s="483" t="str">
        <f t="shared" si="12"/>
        <v xml:space="preserve"> </v>
      </c>
      <c r="I220" s="471">
        <f t="shared" si="13"/>
        <v>1215</v>
      </c>
      <c r="J220" s="471">
        <f t="shared" si="14"/>
        <v>0</v>
      </c>
      <c r="K220">
        <f t="shared" si="15"/>
        <v>1</v>
      </c>
    </row>
    <row r="221" spans="1:11" x14ac:dyDescent="0.2">
      <c r="A221" s="472">
        <v>1216</v>
      </c>
      <c r="B221" s="472"/>
      <c r="C221" s="472"/>
      <c r="D221" s="472"/>
      <c r="E221" s="274"/>
      <c r="F221" s="274"/>
      <c r="G221" s="476"/>
      <c r="H221" s="483" t="str">
        <f t="shared" si="12"/>
        <v xml:space="preserve"> </v>
      </c>
      <c r="I221" s="471">
        <f t="shared" si="13"/>
        <v>1216</v>
      </c>
      <c r="J221" s="471">
        <f t="shared" si="14"/>
        <v>0</v>
      </c>
      <c r="K221">
        <f t="shared" si="15"/>
        <v>1</v>
      </c>
    </row>
    <row r="222" spans="1:11" x14ac:dyDescent="0.2">
      <c r="A222" s="472">
        <v>1217</v>
      </c>
      <c r="B222" s="472"/>
      <c r="C222" s="472"/>
      <c r="D222" s="472"/>
      <c r="E222" s="274"/>
      <c r="F222" s="274"/>
      <c r="G222" s="476"/>
      <c r="H222" s="483" t="str">
        <f t="shared" si="12"/>
        <v xml:space="preserve"> </v>
      </c>
      <c r="I222" s="471">
        <f t="shared" si="13"/>
        <v>1217</v>
      </c>
      <c r="J222" s="471">
        <f t="shared" si="14"/>
        <v>0</v>
      </c>
      <c r="K222">
        <f t="shared" si="15"/>
        <v>1</v>
      </c>
    </row>
    <row r="223" spans="1:11" x14ac:dyDescent="0.2">
      <c r="A223" s="472">
        <v>1218</v>
      </c>
      <c r="B223" s="472"/>
      <c r="C223" s="472"/>
      <c r="D223" s="472"/>
      <c r="E223" s="274"/>
      <c r="F223" s="274"/>
      <c r="G223" s="476"/>
      <c r="H223" s="483" t="str">
        <f t="shared" si="12"/>
        <v xml:space="preserve"> </v>
      </c>
      <c r="I223" s="471">
        <f t="shared" si="13"/>
        <v>1218</v>
      </c>
      <c r="J223" s="471">
        <f t="shared" si="14"/>
        <v>0</v>
      </c>
      <c r="K223">
        <f t="shared" si="15"/>
        <v>1</v>
      </c>
    </row>
    <row r="224" spans="1:11" x14ac:dyDescent="0.2">
      <c r="A224" s="472">
        <v>1219</v>
      </c>
      <c r="B224" s="472"/>
      <c r="C224" s="472"/>
      <c r="D224" s="472"/>
      <c r="E224" s="274"/>
      <c r="F224" s="274"/>
      <c r="G224" s="476"/>
      <c r="H224" s="483" t="str">
        <f t="shared" si="12"/>
        <v xml:space="preserve"> </v>
      </c>
      <c r="I224" s="471">
        <f t="shared" si="13"/>
        <v>1219</v>
      </c>
      <c r="J224" s="471">
        <f t="shared" si="14"/>
        <v>0</v>
      </c>
      <c r="K224">
        <f t="shared" si="15"/>
        <v>1</v>
      </c>
    </row>
    <row r="225" spans="1:11" x14ac:dyDescent="0.2">
      <c r="A225" s="472">
        <v>1220</v>
      </c>
      <c r="B225" s="472"/>
      <c r="C225" s="472"/>
      <c r="D225" s="472"/>
      <c r="E225" s="274"/>
      <c r="F225" s="274"/>
      <c r="G225" s="476"/>
      <c r="H225" s="483" t="str">
        <f t="shared" si="12"/>
        <v xml:space="preserve"> </v>
      </c>
      <c r="I225" s="471">
        <f t="shared" si="13"/>
        <v>1220</v>
      </c>
      <c r="J225" s="471">
        <f t="shared" si="14"/>
        <v>0</v>
      </c>
      <c r="K225">
        <f t="shared" si="15"/>
        <v>1</v>
      </c>
    </row>
    <row r="226" spans="1:11" x14ac:dyDescent="0.2">
      <c r="A226" s="472">
        <v>1221</v>
      </c>
      <c r="B226" s="472"/>
      <c r="C226" s="472"/>
      <c r="D226" s="472"/>
      <c r="E226" s="274"/>
      <c r="F226" s="274"/>
      <c r="G226" s="476"/>
      <c r="H226" s="483" t="str">
        <f t="shared" si="12"/>
        <v xml:space="preserve"> </v>
      </c>
      <c r="I226" s="471">
        <f t="shared" si="13"/>
        <v>1221</v>
      </c>
      <c r="J226" s="471">
        <f t="shared" si="14"/>
        <v>0</v>
      </c>
      <c r="K226">
        <f t="shared" si="15"/>
        <v>1</v>
      </c>
    </row>
    <row r="227" spans="1:11" x14ac:dyDescent="0.2">
      <c r="A227" s="472">
        <v>1222</v>
      </c>
      <c r="B227" s="475" t="s">
        <v>410</v>
      </c>
      <c r="C227" s="472"/>
      <c r="D227" s="472"/>
      <c r="E227" s="274"/>
      <c r="F227" s="274"/>
      <c r="G227" s="476"/>
      <c r="H227" s="483" t="str">
        <f t="shared" si="12"/>
        <v xml:space="preserve">Did Not Shoot </v>
      </c>
      <c r="I227" s="471">
        <f t="shared" si="13"/>
        <v>1222</v>
      </c>
      <c r="J227" s="471">
        <f t="shared" si="14"/>
        <v>0</v>
      </c>
      <c r="K227">
        <f t="shared" si="15"/>
        <v>14</v>
      </c>
    </row>
    <row r="228" spans="1:11" x14ac:dyDescent="0.2">
      <c r="A228" s="472">
        <v>1223</v>
      </c>
      <c r="B228" s="472"/>
      <c r="C228" s="472"/>
      <c r="D228" s="472"/>
      <c r="E228" s="274"/>
      <c r="F228" s="274"/>
      <c r="G228" s="476"/>
      <c r="H228" s="483" t="str">
        <f t="shared" si="12"/>
        <v xml:space="preserve"> </v>
      </c>
      <c r="I228" s="471">
        <f t="shared" si="13"/>
        <v>1223</v>
      </c>
      <c r="J228" s="471">
        <f t="shared" si="14"/>
        <v>0</v>
      </c>
      <c r="K228">
        <f t="shared" si="15"/>
        <v>1</v>
      </c>
    </row>
    <row r="229" spans="1:11" x14ac:dyDescent="0.2">
      <c r="A229" s="472">
        <v>1224</v>
      </c>
      <c r="B229" s="472"/>
      <c r="C229" s="472"/>
      <c r="D229" s="472"/>
      <c r="E229" s="274"/>
      <c r="F229" s="274"/>
      <c r="G229" s="476"/>
      <c r="H229" s="483" t="str">
        <f t="shared" si="12"/>
        <v xml:space="preserve"> </v>
      </c>
      <c r="I229" s="471">
        <f t="shared" si="13"/>
        <v>1224</v>
      </c>
      <c r="J229" s="471">
        <f t="shared" si="14"/>
        <v>0</v>
      </c>
      <c r="K229">
        <f t="shared" si="15"/>
        <v>1</v>
      </c>
    </row>
    <row r="230" spans="1:11" x14ac:dyDescent="0.2">
      <c r="A230" s="472">
        <v>1225</v>
      </c>
      <c r="B230" s="472"/>
      <c r="C230" s="472"/>
      <c r="D230" s="472"/>
      <c r="E230" s="274"/>
      <c r="F230" s="274"/>
      <c r="G230" s="476"/>
      <c r="H230" s="483" t="str">
        <f t="shared" si="12"/>
        <v xml:space="preserve"> </v>
      </c>
      <c r="I230" s="471">
        <f t="shared" si="13"/>
        <v>1225</v>
      </c>
      <c r="J230" s="471">
        <f t="shared" si="14"/>
        <v>0</v>
      </c>
      <c r="K230">
        <f t="shared" si="15"/>
        <v>1</v>
      </c>
    </row>
    <row r="231" spans="1:11" x14ac:dyDescent="0.2">
      <c r="A231" s="472">
        <v>1226</v>
      </c>
      <c r="B231" s="472"/>
      <c r="C231" s="472"/>
      <c r="D231" s="472"/>
      <c r="E231" s="274"/>
      <c r="F231" s="274"/>
      <c r="G231" s="476"/>
      <c r="H231" s="483" t="str">
        <f t="shared" si="12"/>
        <v xml:space="preserve"> </v>
      </c>
      <c r="I231" s="471">
        <f t="shared" si="13"/>
        <v>1226</v>
      </c>
      <c r="J231" s="471">
        <f t="shared" si="14"/>
        <v>0</v>
      </c>
      <c r="K231">
        <f t="shared" si="15"/>
        <v>1</v>
      </c>
    </row>
    <row r="232" spans="1:11" x14ac:dyDescent="0.2">
      <c r="A232" s="472">
        <v>1227</v>
      </c>
      <c r="B232" s="472"/>
      <c r="C232" s="472"/>
      <c r="D232" s="472"/>
      <c r="E232" s="274"/>
      <c r="F232" s="274"/>
      <c r="G232" s="476"/>
      <c r="H232" s="483" t="str">
        <f t="shared" si="12"/>
        <v xml:space="preserve"> </v>
      </c>
      <c r="I232" s="471">
        <f t="shared" si="13"/>
        <v>1227</v>
      </c>
      <c r="J232" s="471">
        <f t="shared" si="14"/>
        <v>0</v>
      </c>
      <c r="K232">
        <f t="shared" si="15"/>
        <v>1</v>
      </c>
    </row>
    <row r="233" spans="1:11" x14ac:dyDescent="0.2">
      <c r="A233" s="472">
        <v>1228</v>
      </c>
      <c r="B233" s="472"/>
      <c r="C233" s="472"/>
      <c r="D233" s="472"/>
      <c r="E233" s="274"/>
      <c r="F233" s="274"/>
      <c r="G233" s="476"/>
      <c r="H233" s="483" t="str">
        <f t="shared" si="12"/>
        <v xml:space="preserve"> </v>
      </c>
      <c r="I233" s="471">
        <f t="shared" si="13"/>
        <v>1228</v>
      </c>
      <c r="J233" s="471">
        <f t="shared" si="14"/>
        <v>0</v>
      </c>
      <c r="K233">
        <f t="shared" si="15"/>
        <v>1</v>
      </c>
    </row>
    <row r="234" spans="1:11" x14ac:dyDescent="0.2">
      <c r="A234" s="472">
        <v>1229</v>
      </c>
      <c r="B234" s="472"/>
      <c r="C234" s="472"/>
      <c r="D234" s="472"/>
      <c r="E234" s="274"/>
      <c r="F234" s="274"/>
      <c r="G234" s="476"/>
      <c r="H234" s="483" t="str">
        <f t="shared" si="12"/>
        <v xml:space="preserve"> </v>
      </c>
      <c r="I234" s="471">
        <f t="shared" si="13"/>
        <v>1229</v>
      </c>
      <c r="J234" s="471">
        <f t="shared" si="14"/>
        <v>0</v>
      </c>
      <c r="K234">
        <f t="shared" si="15"/>
        <v>1</v>
      </c>
    </row>
    <row r="235" spans="1:11" x14ac:dyDescent="0.2">
      <c r="A235" s="472">
        <v>1230</v>
      </c>
      <c r="B235" s="475" t="s">
        <v>410</v>
      </c>
      <c r="C235" s="472"/>
      <c r="D235" s="472"/>
      <c r="E235" s="274"/>
      <c r="F235" s="274"/>
      <c r="G235" s="476"/>
      <c r="H235" s="483" t="str">
        <f t="shared" si="12"/>
        <v xml:space="preserve">Did Not Shoot </v>
      </c>
      <c r="I235" s="471">
        <f t="shared" si="13"/>
        <v>1230</v>
      </c>
      <c r="J235" s="471">
        <f t="shared" si="14"/>
        <v>0</v>
      </c>
      <c r="K235">
        <f t="shared" si="15"/>
        <v>14</v>
      </c>
    </row>
    <row r="236" spans="1:11" x14ac:dyDescent="0.2">
      <c r="A236" s="472">
        <v>1231</v>
      </c>
      <c r="B236" s="472"/>
      <c r="C236" s="472"/>
      <c r="D236" s="472"/>
      <c r="E236" s="274"/>
      <c r="F236" s="274"/>
      <c r="G236" s="476"/>
      <c r="H236" s="483" t="str">
        <f t="shared" si="12"/>
        <v xml:space="preserve"> </v>
      </c>
      <c r="I236" s="471">
        <f t="shared" si="13"/>
        <v>1231</v>
      </c>
      <c r="J236" s="471">
        <f t="shared" si="14"/>
        <v>0</v>
      </c>
      <c r="K236">
        <f t="shared" si="15"/>
        <v>1</v>
      </c>
    </row>
    <row r="237" spans="1:11" x14ac:dyDescent="0.2">
      <c r="A237" s="472">
        <v>1232</v>
      </c>
      <c r="B237" s="472"/>
      <c r="C237" s="472"/>
      <c r="D237" s="472"/>
      <c r="E237" s="274"/>
      <c r="F237" s="274"/>
      <c r="G237" s="476"/>
      <c r="H237" s="483" t="str">
        <f t="shared" si="12"/>
        <v xml:space="preserve"> </v>
      </c>
      <c r="I237" s="471">
        <f t="shared" si="13"/>
        <v>1232</v>
      </c>
      <c r="J237" s="471">
        <f t="shared" si="14"/>
        <v>0</v>
      </c>
      <c r="K237">
        <f t="shared" si="15"/>
        <v>1</v>
      </c>
    </row>
    <row r="238" spans="1:11" x14ac:dyDescent="0.2">
      <c r="A238" s="472">
        <v>1233</v>
      </c>
      <c r="B238" s="472"/>
      <c r="C238" s="472"/>
      <c r="D238" s="472"/>
      <c r="E238" s="274"/>
      <c r="F238" s="274"/>
      <c r="G238" s="476"/>
      <c r="H238" s="483" t="str">
        <f t="shared" si="12"/>
        <v xml:space="preserve"> </v>
      </c>
      <c r="I238" s="471">
        <f t="shared" si="13"/>
        <v>1233</v>
      </c>
      <c r="J238" s="471">
        <f t="shared" si="14"/>
        <v>0</v>
      </c>
      <c r="K238">
        <f t="shared" si="15"/>
        <v>1</v>
      </c>
    </row>
    <row r="239" spans="1:11" x14ac:dyDescent="0.2">
      <c r="A239" s="472">
        <v>1234</v>
      </c>
      <c r="B239" s="472"/>
      <c r="C239" s="472"/>
      <c r="D239" s="472"/>
      <c r="E239" s="274"/>
      <c r="F239" s="274"/>
      <c r="G239" s="476"/>
      <c r="H239" s="483" t="str">
        <f t="shared" si="12"/>
        <v xml:space="preserve"> </v>
      </c>
      <c r="I239" s="471">
        <f t="shared" si="13"/>
        <v>1234</v>
      </c>
      <c r="J239" s="471">
        <f t="shared" si="14"/>
        <v>0</v>
      </c>
      <c r="K239">
        <f t="shared" si="15"/>
        <v>1</v>
      </c>
    </row>
    <row r="240" spans="1:11" x14ac:dyDescent="0.2">
      <c r="A240" s="472">
        <v>1235</v>
      </c>
      <c r="B240" s="472"/>
      <c r="C240" s="472"/>
      <c r="D240" s="472"/>
      <c r="E240" s="274"/>
      <c r="F240" s="274"/>
      <c r="G240" s="476"/>
      <c r="H240" s="483" t="str">
        <f t="shared" si="12"/>
        <v xml:space="preserve"> </v>
      </c>
      <c r="I240" s="471">
        <f t="shared" si="13"/>
        <v>1235</v>
      </c>
      <c r="J240" s="471">
        <f t="shared" si="14"/>
        <v>0</v>
      </c>
      <c r="K240">
        <f t="shared" si="15"/>
        <v>1</v>
      </c>
    </row>
    <row r="241" spans="1:11" x14ac:dyDescent="0.2">
      <c r="A241" s="472">
        <v>1236</v>
      </c>
      <c r="B241" s="472"/>
      <c r="C241" s="472"/>
      <c r="D241" s="472"/>
      <c r="E241" s="274"/>
      <c r="F241" s="274"/>
      <c r="G241" s="476"/>
      <c r="H241" s="483" t="str">
        <f t="shared" si="12"/>
        <v xml:space="preserve"> </v>
      </c>
      <c r="I241" s="471">
        <f t="shared" si="13"/>
        <v>1236</v>
      </c>
      <c r="J241" s="471">
        <f t="shared" si="14"/>
        <v>0</v>
      </c>
      <c r="K241">
        <f t="shared" si="15"/>
        <v>1</v>
      </c>
    </row>
    <row r="242" spans="1:11" x14ac:dyDescent="0.2">
      <c r="A242" s="472">
        <v>1237</v>
      </c>
      <c r="B242" s="472"/>
      <c r="C242" s="472"/>
      <c r="D242" s="472"/>
      <c r="E242" s="274"/>
      <c r="F242" s="274"/>
      <c r="G242" s="476"/>
      <c r="H242" s="483" t="str">
        <f t="shared" si="12"/>
        <v xml:space="preserve"> </v>
      </c>
      <c r="I242" s="471">
        <f t="shared" si="13"/>
        <v>1237</v>
      </c>
      <c r="J242" s="471">
        <f t="shared" si="14"/>
        <v>0</v>
      </c>
      <c r="K242">
        <f t="shared" si="15"/>
        <v>1</v>
      </c>
    </row>
    <row r="243" spans="1:11" x14ac:dyDescent="0.2">
      <c r="A243" s="472">
        <v>1238</v>
      </c>
      <c r="B243" s="472"/>
      <c r="C243" s="472"/>
      <c r="D243" s="472"/>
      <c r="E243" s="274"/>
      <c r="F243" s="274"/>
      <c r="G243" s="476"/>
      <c r="H243" s="483" t="str">
        <f t="shared" si="12"/>
        <v xml:space="preserve"> </v>
      </c>
      <c r="I243" s="471">
        <f t="shared" si="13"/>
        <v>1238</v>
      </c>
      <c r="J243" s="471">
        <f t="shared" si="14"/>
        <v>0</v>
      </c>
      <c r="K243">
        <f t="shared" si="15"/>
        <v>1</v>
      </c>
    </row>
    <row r="244" spans="1:11" x14ac:dyDescent="0.2">
      <c r="A244" s="472">
        <v>1239</v>
      </c>
      <c r="B244" s="472"/>
      <c r="C244" s="472"/>
      <c r="D244" s="472"/>
      <c r="E244" s="274"/>
      <c r="F244" s="274"/>
      <c r="G244" s="476"/>
      <c r="H244" s="483" t="str">
        <f t="shared" si="12"/>
        <v xml:space="preserve"> </v>
      </c>
      <c r="I244" s="471">
        <f t="shared" si="13"/>
        <v>1239</v>
      </c>
      <c r="J244" s="471">
        <f t="shared" si="14"/>
        <v>0</v>
      </c>
      <c r="K244">
        <f t="shared" si="15"/>
        <v>1</v>
      </c>
    </row>
    <row r="245" spans="1:11" x14ac:dyDescent="0.2">
      <c r="A245" s="472">
        <v>1240</v>
      </c>
      <c r="B245" s="472"/>
      <c r="C245" s="472"/>
      <c r="D245" s="472"/>
      <c r="E245" s="274"/>
      <c r="F245" s="274"/>
      <c r="G245" s="476"/>
      <c r="H245" s="483" t="str">
        <f t="shared" si="12"/>
        <v xml:space="preserve"> </v>
      </c>
      <c r="I245" s="471">
        <f t="shared" si="13"/>
        <v>1240</v>
      </c>
      <c r="J245" s="471">
        <f t="shared" si="14"/>
        <v>0</v>
      </c>
      <c r="K245">
        <f t="shared" si="15"/>
        <v>1</v>
      </c>
    </row>
    <row r="246" spans="1:11" x14ac:dyDescent="0.2">
      <c r="A246" s="472">
        <v>1241</v>
      </c>
      <c r="B246" s="472"/>
      <c r="C246" s="472"/>
      <c r="D246" s="472"/>
      <c r="E246" s="274"/>
      <c r="F246" s="274"/>
      <c r="G246" s="476"/>
      <c r="H246" s="483" t="str">
        <f t="shared" si="12"/>
        <v xml:space="preserve"> </v>
      </c>
      <c r="I246" s="471">
        <f t="shared" si="13"/>
        <v>1241</v>
      </c>
      <c r="J246" s="471">
        <f t="shared" si="14"/>
        <v>0</v>
      </c>
      <c r="K246">
        <f t="shared" si="15"/>
        <v>1</v>
      </c>
    </row>
    <row r="247" spans="1:11" x14ac:dyDescent="0.2">
      <c r="A247" s="472">
        <v>1242</v>
      </c>
      <c r="B247" s="472"/>
      <c r="C247" s="472"/>
      <c r="D247" s="472"/>
      <c r="E247" s="274"/>
      <c r="F247" s="274"/>
      <c r="G247" s="476"/>
      <c r="H247" s="483" t="str">
        <f t="shared" si="12"/>
        <v xml:space="preserve"> </v>
      </c>
      <c r="I247" s="471">
        <f t="shared" si="13"/>
        <v>1242</v>
      </c>
      <c r="J247" s="471">
        <f t="shared" si="14"/>
        <v>0</v>
      </c>
      <c r="K247">
        <f t="shared" si="15"/>
        <v>1</v>
      </c>
    </row>
    <row r="248" spans="1:11" x14ac:dyDescent="0.2">
      <c r="A248" s="472">
        <v>1243</v>
      </c>
      <c r="B248" s="472"/>
      <c r="C248" s="472"/>
      <c r="D248" s="472"/>
      <c r="E248" s="274"/>
      <c r="F248" s="274"/>
      <c r="G248" s="476"/>
      <c r="H248" s="483" t="str">
        <f t="shared" si="12"/>
        <v xml:space="preserve"> </v>
      </c>
      <c r="I248" s="471">
        <f t="shared" si="13"/>
        <v>1243</v>
      </c>
      <c r="J248" s="471">
        <f t="shared" si="14"/>
        <v>0</v>
      </c>
      <c r="K248">
        <f t="shared" si="15"/>
        <v>1</v>
      </c>
    </row>
    <row r="249" spans="1:11" x14ac:dyDescent="0.2">
      <c r="A249" s="472">
        <v>1244</v>
      </c>
      <c r="B249" s="472"/>
      <c r="C249" s="472"/>
      <c r="D249" s="472"/>
      <c r="E249" s="274"/>
      <c r="F249" s="274"/>
      <c r="G249" s="476"/>
      <c r="H249" s="483" t="str">
        <f t="shared" si="12"/>
        <v xml:space="preserve"> </v>
      </c>
      <c r="I249" s="471">
        <f t="shared" si="13"/>
        <v>1244</v>
      </c>
      <c r="J249" s="471">
        <f t="shared" si="14"/>
        <v>0</v>
      </c>
      <c r="K249">
        <f t="shared" si="15"/>
        <v>1</v>
      </c>
    </row>
    <row r="250" spans="1:11" x14ac:dyDescent="0.2">
      <c r="A250" s="472">
        <v>1245</v>
      </c>
      <c r="B250" s="472"/>
      <c r="C250" s="472"/>
      <c r="D250" s="472"/>
      <c r="E250" s="274"/>
      <c r="F250" s="274"/>
      <c r="G250" s="476"/>
      <c r="H250" s="483" t="str">
        <f t="shared" si="12"/>
        <v xml:space="preserve"> </v>
      </c>
      <c r="I250" s="471">
        <f t="shared" si="13"/>
        <v>1245</v>
      </c>
      <c r="J250" s="471">
        <f t="shared" si="14"/>
        <v>0</v>
      </c>
      <c r="K250">
        <f t="shared" si="15"/>
        <v>1</v>
      </c>
    </row>
    <row r="251" spans="1:11" x14ac:dyDescent="0.2">
      <c r="A251" s="472">
        <v>1246</v>
      </c>
      <c r="B251" s="472"/>
      <c r="C251" s="472"/>
      <c r="D251" s="472"/>
      <c r="E251" s="274"/>
      <c r="F251" s="274"/>
      <c r="G251" s="476"/>
      <c r="H251" s="483" t="str">
        <f t="shared" si="12"/>
        <v xml:space="preserve"> </v>
      </c>
      <c r="I251" s="471">
        <f t="shared" si="13"/>
        <v>1246</v>
      </c>
      <c r="J251" s="471">
        <f t="shared" si="14"/>
        <v>0</v>
      </c>
      <c r="K251">
        <f t="shared" si="15"/>
        <v>1</v>
      </c>
    </row>
    <row r="252" spans="1:11" x14ac:dyDescent="0.2">
      <c r="A252" s="472">
        <v>1247</v>
      </c>
      <c r="B252" s="472"/>
      <c r="C252" s="472"/>
      <c r="D252" s="472"/>
      <c r="E252" s="274"/>
      <c r="F252" s="274"/>
      <c r="G252" s="476"/>
      <c r="H252" s="483" t="str">
        <f t="shared" si="12"/>
        <v xml:space="preserve"> </v>
      </c>
      <c r="I252" s="471">
        <f t="shared" si="13"/>
        <v>1247</v>
      </c>
      <c r="J252" s="471">
        <f t="shared" si="14"/>
        <v>0</v>
      </c>
      <c r="K252">
        <f t="shared" si="15"/>
        <v>1</v>
      </c>
    </row>
    <row r="253" spans="1:11" x14ac:dyDescent="0.2">
      <c r="A253" s="472">
        <v>1248</v>
      </c>
      <c r="B253" s="472"/>
      <c r="C253" s="472"/>
      <c r="D253" s="472"/>
      <c r="E253" s="274"/>
      <c r="F253" s="274"/>
      <c r="G253" s="476"/>
      <c r="H253" s="483" t="str">
        <f t="shared" si="12"/>
        <v xml:space="preserve"> </v>
      </c>
      <c r="I253" s="471">
        <f t="shared" si="13"/>
        <v>1248</v>
      </c>
      <c r="J253" s="471">
        <f t="shared" si="14"/>
        <v>0</v>
      </c>
      <c r="K253">
        <f t="shared" si="15"/>
        <v>1</v>
      </c>
    </row>
    <row r="254" spans="1:11" x14ac:dyDescent="0.2">
      <c r="A254" s="472">
        <v>1249</v>
      </c>
      <c r="B254" s="472"/>
      <c r="C254" s="472"/>
      <c r="D254" s="472"/>
      <c r="E254" s="274"/>
      <c r="F254" s="274"/>
      <c r="G254" s="476"/>
      <c r="H254" s="483" t="str">
        <f t="shared" si="12"/>
        <v xml:space="preserve"> </v>
      </c>
      <c r="I254" s="471">
        <f t="shared" si="13"/>
        <v>1249</v>
      </c>
      <c r="J254" s="471">
        <f t="shared" si="14"/>
        <v>0</v>
      </c>
      <c r="K254">
        <f t="shared" si="15"/>
        <v>1</v>
      </c>
    </row>
    <row r="255" spans="1:11" x14ac:dyDescent="0.2">
      <c r="A255" s="472">
        <v>1250</v>
      </c>
      <c r="B255" s="472"/>
      <c r="C255" s="472"/>
      <c r="D255" s="472"/>
      <c r="E255" s="274"/>
      <c r="F255" s="274"/>
      <c r="G255" s="476"/>
      <c r="H255" s="483" t="str">
        <f t="shared" si="12"/>
        <v xml:space="preserve"> </v>
      </c>
      <c r="I255" s="471">
        <f t="shared" si="13"/>
        <v>1250</v>
      </c>
      <c r="J255" s="471">
        <f t="shared" si="14"/>
        <v>0</v>
      </c>
      <c r="K255">
        <f t="shared" si="15"/>
        <v>1</v>
      </c>
    </row>
    <row r="256" spans="1:11" x14ac:dyDescent="0.2">
      <c r="A256" s="472">
        <v>1251</v>
      </c>
      <c r="B256" s="472"/>
      <c r="C256" s="472"/>
      <c r="D256" s="472"/>
      <c r="E256" s="274"/>
      <c r="F256" s="274"/>
      <c r="G256" s="476"/>
      <c r="H256" s="483" t="str">
        <f t="shared" si="12"/>
        <v xml:space="preserve"> </v>
      </c>
      <c r="I256" s="471">
        <f t="shared" si="13"/>
        <v>1251</v>
      </c>
      <c r="J256" s="471">
        <f t="shared" si="14"/>
        <v>0</v>
      </c>
      <c r="K256">
        <f t="shared" si="15"/>
        <v>1</v>
      </c>
    </row>
    <row r="257" spans="1:11" x14ac:dyDescent="0.2">
      <c r="A257" s="472">
        <v>1252</v>
      </c>
      <c r="B257" s="472"/>
      <c r="C257" s="472"/>
      <c r="D257" s="472"/>
      <c r="E257" s="274"/>
      <c r="F257" s="274"/>
      <c r="G257" s="476"/>
      <c r="H257" s="483" t="str">
        <f t="shared" si="12"/>
        <v xml:space="preserve"> </v>
      </c>
      <c r="I257" s="471">
        <f t="shared" si="13"/>
        <v>1252</v>
      </c>
      <c r="J257" s="471">
        <f t="shared" si="14"/>
        <v>0</v>
      </c>
      <c r="K257">
        <f t="shared" si="15"/>
        <v>1</v>
      </c>
    </row>
    <row r="258" spans="1:11" x14ac:dyDescent="0.2">
      <c r="A258" s="472">
        <v>1253</v>
      </c>
      <c r="B258" s="472"/>
      <c r="C258" s="472"/>
      <c r="D258" s="472"/>
      <c r="E258" s="274"/>
      <c r="F258" s="274"/>
      <c r="G258" s="476"/>
      <c r="H258" s="483" t="str">
        <f t="shared" si="12"/>
        <v xml:space="preserve"> </v>
      </c>
      <c r="I258" s="471">
        <f t="shared" si="13"/>
        <v>1253</v>
      </c>
      <c r="J258" s="471">
        <f t="shared" si="14"/>
        <v>0</v>
      </c>
      <c r="K258">
        <f t="shared" si="15"/>
        <v>1</v>
      </c>
    </row>
    <row r="259" spans="1:11" x14ac:dyDescent="0.2">
      <c r="A259" s="472">
        <v>1254</v>
      </c>
      <c r="B259" s="472"/>
      <c r="C259" s="472"/>
      <c r="D259" s="472"/>
      <c r="E259" s="274"/>
      <c r="F259" s="274"/>
      <c r="G259" s="476"/>
      <c r="H259" s="483" t="str">
        <f t="shared" si="12"/>
        <v xml:space="preserve"> </v>
      </c>
      <c r="I259" s="471">
        <f t="shared" si="13"/>
        <v>1254</v>
      </c>
      <c r="J259" s="471">
        <f t="shared" si="14"/>
        <v>0</v>
      </c>
      <c r="K259">
        <f t="shared" si="15"/>
        <v>1</v>
      </c>
    </row>
    <row r="260" spans="1:11" x14ac:dyDescent="0.2">
      <c r="A260" s="472">
        <v>1255</v>
      </c>
      <c r="B260" s="472"/>
      <c r="C260" s="472"/>
      <c r="D260" s="472"/>
      <c r="E260" s="274"/>
      <c r="F260" s="274"/>
      <c r="G260" s="476"/>
      <c r="H260" s="483" t="str">
        <f t="shared" si="12"/>
        <v xml:space="preserve"> </v>
      </c>
      <c r="I260" s="471">
        <f t="shared" si="13"/>
        <v>1255</v>
      </c>
      <c r="J260" s="471">
        <f t="shared" si="14"/>
        <v>0</v>
      </c>
      <c r="K260">
        <f t="shared" si="15"/>
        <v>1</v>
      </c>
    </row>
    <row r="261" spans="1:11" x14ac:dyDescent="0.2">
      <c r="A261" s="472">
        <v>1256</v>
      </c>
      <c r="B261" s="472"/>
      <c r="C261" s="472"/>
      <c r="D261" s="472"/>
      <c r="E261" s="274"/>
      <c r="F261" s="274"/>
      <c r="G261" s="476"/>
      <c r="H261" s="483" t="str">
        <f t="shared" si="12"/>
        <v xml:space="preserve"> </v>
      </c>
      <c r="I261" s="471">
        <f t="shared" si="13"/>
        <v>1256</v>
      </c>
      <c r="J261" s="471">
        <f t="shared" si="14"/>
        <v>0</v>
      </c>
      <c r="K261">
        <f t="shared" si="15"/>
        <v>1</v>
      </c>
    </row>
    <row r="262" spans="1:11" x14ac:dyDescent="0.2">
      <c r="A262" s="472">
        <v>1257</v>
      </c>
      <c r="B262" s="472"/>
      <c r="C262" s="472"/>
      <c r="D262" s="472"/>
      <c r="E262" s="274"/>
      <c r="F262" s="274"/>
      <c r="G262" s="476"/>
      <c r="H262" s="483" t="str">
        <f t="shared" ref="H262:H325" si="16">CONCATENATE(B262," ",C262)</f>
        <v xml:space="preserve"> </v>
      </c>
      <c r="I262" s="471">
        <f t="shared" ref="I262:I325" si="17">A262</f>
        <v>1257</v>
      </c>
      <c r="J262" s="471">
        <f t="shared" ref="J262:J325" si="18">G262</f>
        <v>0</v>
      </c>
      <c r="K262">
        <f t="shared" ref="K262:K325" si="19">LEN(H262)</f>
        <v>1</v>
      </c>
    </row>
    <row r="263" spans="1:11" x14ac:dyDescent="0.2">
      <c r="A263" s="472">
        <v>1258</v>
      </c>
      <c r="B263" s="472"/>
      <c r="C263" s="472"/>
      <c r="D263" s="472"/>
      <c r="E263" s="274"/>
      <c r="F263" s="274"/>
      <c r="G263" s="476"/>
      <c r="H263" s="483" t="str">
        <f t="shared" si="16"/>
        <v xml:space="preserve"> </v>
      </c>
      <c r="I263" s="471">
        <f t="shared" si="17"/>
        <v>1258</v>
      </c>
      <c r="J263" s="471">
        <f t="shared" si="18"/>
        <v>0</v>
      </c>
      <c r="K263">
        <f t="shared" si="19"/>
        <v>1</v>
      </c>
    </row>
    <row r="264" spans="1:11" x14ac:dyDescent="0.2">
      <c r="A264" s="472">
        <v>1259</v>
      </c>
      <c r="B264" s="472"/>
      <c r="C264" s="472"/>
      <c r="D264" s="472"/>
      <c r="E264" s="274"/>
      <c r="F264" s="274"/>
      <c r="G264" s="476"/>
      <c r="H264" s="483" t="str">
        <f t="shared" si="16"/>
        <v xml:space="preserve"> </v>
      </c>
      <c r="I264" s="471">
        <f t="shared" si="17"/>
        <v>1259</v>
      </c>
      <c r="J264" s="471">
        <f t="shared" si="18"/>
        <v>0</v>
      </c>
      <c r="K264">
        <f t="shared" si="19"/>
        <v>1</v>
      </c>
    </row>
    <row r="265" spans="1:11" x14ac:dyDescent="0.2">
      <c r="A265" s="472">
        <v>1260</v>
      </c>
      <c r="B265" s="472"/>
      <c r="C265" s="472"/>
      <c r="D265" s="472"/>
      <c r="E265" s="274"/>
      <c r="F265" s="274"/>
      <c r="G265" s="476"/>
      <c r="H265" s="483" t="str">
        <f t="shared" si="16"/>
        <v xml:space="preserve"> </v>
      </c>
      <c r="I265" s="471">
        <f t="shared" si="17"/>
        <v>1260</v>
      </c>
      <c r="J265" s="471">
        <f t="shared" si="18"/>
        <v>0</v>
      </c>
      <c r="K265">
        <f t="shared" si="19"/>
        <v>1</v>
      </c>
    </row>
    <row r="266" spans="1:11" x14ac:dyDescent="0.2">
      <c r="A266" s="472">
        <v>1261</v>
      </c>
      <c r="B266" s="472"/>
      <c r="C266" s="472"/>
      <c r="D266" s="472"/>
      <c r="E266" s="274"/>
      <c r="F266" s="274"/>
      <c r="G266" s="476"/>
      <c r="H266" s="483" t="str">
        <f t="shared" si="16"/>
        <v xml:space="preserve"> </v>
      </c>
      <c r="I266" s="471">
        <f t="shared" si="17"/>
        <v>1261</v>
      </c>
      <c r="J266" s="471">
        <f t="shared" si="18"/>
        <v>0</v>
      </c>
      <c r="K266">
        <f t="shared" si="19"/>
        <v>1</v>
      </c>
    </row>
    <row r="267" spans="1:11" x14ac:dyDescent="0.2">
      <c r="A267" s="472">
        <v>1262</v>
      </c>
      <c r="B267" s="472"/>
      <c r="C267" s="472"/>
      <c r="D267" s="472"/>
      <c r="E267" s="274"/>
      <c r="F267" s="274"/>
      <c r="G267" s="476"/>
      <c r="H267" s="483" t="str">
        <f t="shared" si="16"/>
        <v xml:space="preserve"> </v>
      </c>
      <c r="I267" s="471">
        <f t="shared" si="17"/>
        <v>1262</v>
      </c>
      <c r="J267" s="471">
        <f t="shared" si="18"/>
        <v>0</v>
      </c>
      <c r="K267">
        <f t="shared" si="19"/>
        <v>1</v>
      </c>
    </row>
    <row r="268" spans="1:11" x14ac:dyDescent="0.2">
      <c r="A268" s="472">
        <v>1263</v>
      </c>
      <c r="B268" s="472"/>
      <c r="C268" s="472"/>
      <c r="D268" s="472"/>
      <c r="E268" s="274"/>
      <c r="F268" s="274"/>
      <c r="G268" s="476"/>
      <c r="H268" s="483" t="str">
        <f t="shared" si="16"/>
        <v xml:space="preserve"> </v>
      </c>
      <c r="I268" s="471">
        <f t="shared" si="17"/>
        <v>1263</v>
      </c>
      <c r="J268" s="471">
        <f t="shared" si="18"/>
        <v>0</v>
      </c>
      <c r="K268">
        <f t="shared" si="19"/>
        <v>1</v>
      </c>
    </row>
    <row r="269" spans="1:11" x14ac:dyDescent="0.2">
      <c r="A269" s="472">
        <v>1264</v>
      </c>
      <c r="B269" s="472"/>
      <c r="C269" s="472"/>
      <c r="D269" s="472"/>
      <c r="E269" s="274"/>
      <c r="F269" s="274"/>
      <c r="G269" s="476"/>
      <c r="H269" s="483" t="str">
        <f t="shared" si="16"/>
        <v xml:space="preserve"> </v>
      </c>
      <c r="I269" s="471">
        <f t="shared" si="17"/>
        <v>1264</v>
      </c>
      <c r="J269" s="471">
        <f t="shared" si="18"/>
        <v>0</v>
      </c>
      <c r="K269">
        <f t="shared" si="19"/>
        <v>1</v>
      </c>
    </row>
    <row r="270" spans="1:11" x14ac:dyDescent="0.2">
      <c r="A270" s="472">
        <v>1265</v>
      </c>
      <c r="B270" s="472"/>
      <c r="C270" s="472"/>
      <c r="D270" s="472"/>
      <c r="E270" s="274"/>
      <c r="F270" s="274"/>
      <c r="G270" s="476"/>
      <c r="H270" s="483" t="str">
        <f t="shared" si="16"/>
        <v xml:space="preserve"> </v>
      </c>
      <c r="I270" s="471">
        <f t="shared" si="17"/>
        <v>1265</v>
      </c>
      <c r="J270" s="471">
        <f t="shared" si="18"/>
        <v>0</v>
      </c>
      <c r="K270">
        <f t="shared" si="19"/>
        <v>1</v>
      </c>
    </row>
    <row r="271" spans="1:11" x14ac:dyDescent="0.2">
      <c r="A271" s="472">
        <v>1266</v>
      </c>
      <c r="B271" s="472"/>
      <c r="C271" s="472"/>
      <c r="D271" s="472"/>
      <c r="E271" s="274"/>
      <c r="F271" s="274"/>
      <c r="G271" s="476"/>
      <c r="H271" s="483" t="str">
        <f t="shared" si="16"/>
        <v xml:space="preserve"> </v>
      </c>
      <c r="I271" s="471">
        <f t="shared" si="17"/>
        <v>1266</v>
      </c>
      <c r="J271" s="471">
        <f t="shared" si="18"/>
        <v>0</v>
      </c>
      <c r="K271">
        <f t="shared" si="19"/>
        <v>1</v>
      </c>
    </row>
    <row r="272" spans="1:11" x14ac:dyDescent="0.2">
      <c r="A272" s="472">
        <v>1267</v>
      </c>
      <c r="B272" s="472"/>
      <c r="C272" s="472"/>
      <c r="D272" s="472"/>
      <c r="E272" s="274"/>
      <c r="F272" s="274"/>
      <c r="G272" s="476"/>
      <c r="H272" s="483" t="str">
        <f t="shared" si="16"/>
        <v xml:space="preserve"> </v>
      </c>
      <c r="I272" s="471">
        <f t="shared" si="17"/>
        <v>1267</v>
      </c>
      <c r="J272" s="471">
        <f t="shared" si="18"/>
        <v>0</v>
      </c>
      <c r="K272">
        <f t="shared" si="19"/>
        <v>1</v>
      </c>
    </row>
    <row r="273" spans="1:11" x14ac:dyDescent="0.2">
      <c r="A273" s="472">
        <v>1268</v>
      </c>
      <c r="B273" s="472"/>
      <c r="C273" s="472"/>
      <c r="D273" s="472"/>
      <c r="E273" s="274"/>
      <c r="F273" s="274"/>
      <c r="G273" s="476"/>
      <c r="H273" s="483" t="str">
        <f t="shared" si="16"/>
        <v xml:space="preserve"> </v>
      </c>
      <c r="I273" s="471">
        <f t="shared" si="17"/>
        <v>1268</v>
      </c>
      <c r="J273" s="471">
        <f t="shared" si="18"/>
        <v>0</v>
      </c>
      <c r="K273">
        <f t="shared" si="19"/>
        <v>1</v>
      </c>
    </row>
    <row r="274" spans="1:11" x14ac:dyDescent="0.2">
      <c r="A274" s="472">
        <v>1269</v>
      </c>
      <c r="B274" s="472"/>
      <c r="C274" s="472"/>
      <c r="D274" s="472"/>
      <c r="E274" s="274"/>
      <c r="F274" s="274"/>
      <c r="G274" s="476"/>
      <c r="H274" s="483" t="str">
        <f t="shared" si="16"/>
        <v xml:space="preserve"> </v>
      </c>
      <c r="I274" s="471">
        <f t="shared" si="17"/>
        <v>1269</v>
      </c>
      <c r="J274" s="471">
        <f t="shared" si="18"/>
        <v>0</v>
      </c>
      <c r="K274">
        <f t="shared" si="19"/>
        <v>1</v>
      </c>
    </row>
    <row r="275" spans="1:11" x14ac:dyDescent="0.2">
      <c r="A275" s="472">
        <v>1270</v>
      </c>
      <c r="B275" s="472"/>
      <c r="C275" s="472"/>
      <c r="D275" s="472"/>
      <c r="E275" s="274"/>
      <c r="F275" s="274"/>
      <c r="G275" s="476"/>
      <c r="H275" s="483" t="str">
        <f t="shared" si="16"/>
        <v xml:space="preserve"> </v>
      </c>
      <c r="I275" s="471">
        <f t="shared" si="17"/>
        <v>1270</v>
      </c>
      <c r="J275" s="471">
        <f t="shared" si="18"/>
        <v>0</v>
      </c>
      <c r="K275">
        <f t="shared" si="19"/>
        <v>1</v>
      </c>
    </row>
    <row r="276" spans="1:11" x14ac:dyDescent="0.2">
      <c r="A276" s="472">
        <v>1271</v>
      </c>
      <c r="B276" s="472"/>
      <c r="C276" s="472"/>
      <c r="D276" s="472"/>
      <c r="E276" s="274"/>
      <c r="F276" s="274"/>
      <c r="G276" s="476"/>
      <c r="H276" s="483" t="str">
        <f t="shared" si="16"/>
        <v xml:space="preserve"> </v>
      </c>
      <c r="I276" s="471">
        <f t="shared" si="17"/>
        <v>1271</v>
      </c>
      <c r="J276" s="471">
        <f t="shared" si="18"/>
        <v>0</v>
      </c>
      <c r="K276">
        <f t="shared" si="19"/>
        <v>1</v>
      </c>
    </row>
    <row r="277" spans="1:11" x14ac:dyDescent="0.2">
      <c r="A277" s="472">
        <v>1272</v>
      </c>
      <c r="B277" s="472"/>
      <c r="C277" s="472"/>
      <c r="D277" s="472"/>
      <c r="E277" s="274"/>
      <c r="F277" s="274"/>
      <c r="G277" s="476"/>
      <c r="H277" s="483" t="str">
        <f t="shared" si="16"/>
        <v xml:space="preserve"> </v>
      </c>
      <c r="I277" s="471">
        <f t="shared" si="17"/>
        <v>1272</v>
      </c>
      <c r="J277" s="471">
        <f t="shared" si="18"/>
        <v>0</v>
      </c>
      <c r="K277">
        <f t="shared" si="19"/>
        <v>1</v>
      </c>
    </row>
    <row r="278" spans="1:11" x14ac:dyDescent="0.2">
      <c r="A278" s="472">
        <v>1273</v>
      </c>
      <c r="B278" s="472"/>
      <c r="C278" s="472"/>
      <c r="D278" s="472"/>
      <c r="E278" s="274"/>
      <c r="F278" s="274"/>
      <c r="G278" s="476"/>
      <c r="H278" s="483" t="str">
        <f t="shared" si="16"/>
        <v xml:space="preserve"> </v>
      </c>
      <c r="I278" s="471">
        <f t="shared" si="17"/>
        <v>1273</v>
      </c>
      <c r="J278" s="471">
        <f t="shared" si="18"/>
        <v>0</v>
      </c>
      <c r="K278">
        <f t="shared" si="19"/>
        <v>1</v>
      </c>
    </row>
    <row r="279" spans="1:11" x14ac:dyDescent="0.2">
      <c r="A279" s="472">
        <v>1274</v>
      </c>
      <c r="B279" s="472"/>
      <c r="C279" s="472"/>
      <c r="D279" s="472"/>
      <c r="E279" s="274"/>
      <c r="F279" s="274"/>
      <c r="G279" s="476"/>
      <c r="H279" s="483" t="str">
        <f t="shared" si="16"/>
        <v xml:space="preserve"> </v>
      </c>
      <c r="I279" s="471">
        <f t="shared" si="17"/>
        <v>1274</v>
      </c>
      <c r="J279" s="471">
        <f t="shared" si="18"/>
        <v>0</v>
      </c>
      <c r="K279">
        <f t="shared" si="19"/>
        <v>1</v>
      </c>
    </row>
    <row r="280" spans="1:11" x14ac:dyDescent="0.2">
      <c r="A280" s="472">
        <v>1275</v>
      </c>
      <c r="B280" s="472"/>
      <c r="C280" s="472"/>
      <c r="D280" s="472"/>
      <c r="E280" s="274"/>
      <c r="F280" s="274"/>
      <c r="G280" s="476"/>
      <c r="H280" s="483" t="str">
        <f t="shared" si="16"/>
        <v xml:space="preserve"> </v>
      </c>
      <c r="I280" s="471">
        <f t="shared" si="17"/>
        <v>1275</v>
      </c>
      <c r="J280" s="471">
        <f t="shared" si="18"/>
        <v>0</v>
      </c>
      <c r="K280">
        <f t="shared" si="19"/>
        <v>1</v>
      </c>
    </row>
    <row r="281" spans="1:11" x14ac:dyDescent="0.2">
      <c r="A281" s="472">
        <v>1276</v>
      </c>
      <c r="B281" s="472"/>
      <c r="C281" s="472"/>
      <c r="D281" s="472"/>
      <c r="E281" s="274"/>
      <c r="F281" s="274"/>
      <c r="G281" s="476"/>
      <c r="H281" s="483" t="str">
        <f t="shared" si="16"/>
        <v xml:space="preserve"> </v>
      </c>
      <c r="I281" s="471">
        <f t="shared" si="17"/>
        <v>1276</v>
      </c>
      <c r="J281" s="471">
        <f t="shared" si="18"/>
        <v>0</v>
      </c>
      <c r="K281">
        <f t="shared" si="19"/>
        <v>1</v>
      </c>
    </row>
    <row r="282" spans="1:11" x14ac:dyDescent="0.2">
      <c r="A282" s="472">
        <v>1277</v>
      </c>
      <c r="B282" s="472"/>
      <c r="C282" s="472"/>
      <c r="D282" s="472"/>
      <c r="E282" s="274"/>
      <c r="F282" s="274"/>
      <c r="G282" s="476"/>
      <c r="H282" s="483" t="str">
        <f t="shared" si="16"/>
        <v xml:space="preserve"> </v>
      </c>
      <c r="I282" s="471">
        <f t="shared" si="17"/>
        <v>1277</v>
      </c>
      <c r="J282" s="471">
        <f t="shared" si="18"/>
        <v>0</v>
      </c>
      <c r="K282">
        <f t="shared" si="19"/>
        <v>1</v>
      </c>
    </row>
    <row r="283" spans="1:11" x14ac:dyDescent="0.2">
      <c r="A283" s="472">
        <v>1278</v>
      </c>
      <c r="B283" s="472"/>
      <c r="C283" s="472"/>
      <c r="D283" s="472"/>
      <c r="E283" s="274"/>
      <c r="F283" s="274"/>
      <c r="G283" s="476"/>
      <c r="H283" s="483" t="str">
        <f t="shared" si="16"/>
        <v xml:space="preserve"> </v>
      </c>
      <c r="I283" s="471">
        <f t="shared" si="17"/>
        <v>1278</v>
      </c>
      <c r="J283" s="471">
        <f t="shared" si="18"/>
        <v>0</v>
      </c>
      <c r="K283">
        <f t="shared" si="19"/>
        <v>1</v>
      </c>
    </row>
    <row r="284" spans="1:11" x14ac:dyDescent="0.2">
      <c r="A284" s="472">
        <v>1279</v>
      </c>
      <c r="B284" s="472"/>
      <c r="C284" s="472"/>
      <c r="D284" s="472"/>
      <c r="E284" s="274"/>
      <c r="F284" s="274"/>
      <c r="G284" s="476"/>
      <c r="H284" s="483" t="str">
        <f t="shared" si="16"/>
        <v xml:space="preserve"> </v>
      </c>
      <c r="I284" s="471">
        <f t="shared" si="17"/>
        <v>1279</v>
      </c>
      <c r="J284" s="471">
        <f t="shared" si="18"/>
        <v>0</v>
      </c>
      <c r="K284">
        <f t="shared" si="19"/>
        <v>1</v>
      </c>
    </row>
    <row r="285" spans="1:11" x14ac:dyDescent="0.2">
      <c r="A285" s="472">
        <v>1280</v>
      </c>
      <c r="B285" s="472"/>
      <c r="C285" s="472"/>
      <c r="D285" s="472"/>
      <c r="E285" s="274"/>
      <c r="F285" s="274"/>
      <c r="G285" s="476"/>
      <c r="H285" s="483" t="str">
        <f t="shared" si="16"/>
        <v xml:space="preserve"> </v>
      </c>
      <c r="I285" s="471">
        <f t="shared" si="17"/>
        <v>1280</v>
      </c>
      <c r="J285" s="471">
        <f t="shared" si="18"/>
        <v>0</v>
      </c>
      <c r="K285">
        <f t="shared" si="19"/>
        <v>1</v>
      </c>
    </row>
    <row r="286" spans="1:11" x14ac:dyDescent="0.2">
      <c r="A286" s="472">
        <v>1281</v>
      </c>
      <c r="B286" s="472"/>
      <c r="C286" s="472"/>
      <c r="D286" s="472"/>
      <c r="E286" s="274"/>
      <c r="F286" s="274"/>
      <c r="G286" s="476"/>
      <c r="H286" s="483" t="str">
        <f t="shared" si="16"/>
        <v xml:space="preserve"> </v>
      </c>
      <c r="I286" s="471">
        <f t="shared" si="17"/>
        <v>1281</v>
      </c>
      <c r="J286" s="471">
        <f t="shared" si="18"/>
        <v>0</v>
      </c>
      <c r="K286">
        <f t="shared" si="19"/>
        <v>1</v>
      </c>
    </row>
    <row r="287" spans="1:11" x14ac:dyDescent="0.2">
      <c r="A287" s="472">
        <v>1282</v>
      </c>
      <c r="B287" s="472"/>
      <c r="C287" s="472"/>
      <c r="D287" s="472"/>
      <c r="E287" s="274"/>
      <c r="F287" s="274"/>
      <c r="G287" s="476"/>
      <c r="H287" s="483" t="str">
        <f t="shared" si="16"/>
        <v xml:space="preserve"> </v>
      </c>
      <c r="I287" s="471">
        <f t="shared" si="17"/>
        <v>1282</v>
      </c>
      <c r="J287" s="471">
        <f t="shared" si="18"/>
        <v>0</v>
      </c>
      <c r="K287">
        <f t="shared" si="19"/>
        <v>1</v>
      </c>
    </row>
    <row r="288" spans="1:11" x14ac:dyDescent="0.2">
      <c r="A288" s="472">
        <v>1283</v>
      </c>
      <c r="B288" s="472"/>
      <c r="C288" s="472"/>
      <c r="D288" s="472"/>
      <c r="E288" s="274"/>
      <c r="F288" s="274"/>
      <c r="G288" s="476"/>
      <c r="H288" s="483" t="str">
        <f t="shared" si="16"/>
        <v xml:space="preserve"> </v>
      </c>
      <c r="I288" s="471">
        <f t="shared" si="17"/>
        <v>1283</v>
      </c>
      <c r="J288" s="471">
        <f t="shared" si="18"/>
        <v>0</v>
      </c>
      <c r="K288">
        <f t="shared" si="19"/>
        <v>1</v>
      </c>
    </row>
    <row r="289" spans="1:11" x14ac:dyDescent="0.2">
      <c r="A289" s="472">
        <v>1284</v>
      </c>
      <c r="B289" s="472"/>
      <c r="C289" s="472"/>
      <c r="D289" s="472"/>
      <c r="E289" s="274"/>
      <c r="F289" s="274"/>
      <c r="G289" s="476"/>
      <c r="H289" s="483" t="str">
        <f t="shared" si="16"/>
        <v xml:space="preserve"> </v>
      </c>
      <c r="I289" s="471">
        <f t="shared" si="17"/>
        <v>1284</v>
      </c>
      <c r="J289" s="471">
        <f t="shared" si="18"/>
        <v>0</v>
      </c>
      <c r="K289">
        <f t="shared" si="19"/>
        <v>1</v>
      </c>
    </row>
    <row r="290" spans="1:11" x14ac:dyDescent="0.2">
      <c r="A290" s="472">
        <v>1285</v>
      </c>
      <c r="B290" s="472"/>
      <c r="C290" s="472"/>
      <c r="D290" s="472"/>
      <c r="E290" s="274"/>
      <c r="F290" s="274"/>
      <c r="G290" s="476"/>
      <c r="H290" s="483" t="str">
        <f t="shared" si="16"/>
        <v xml:space="preserve"> </v>
      </c>
      <c r="I290" s="471">
        <f t="shared" si="17"/>
        <v>1285</v>
      </c>
      <c r="J290" s="471">
        <f t="shared" si="18"/>
        <v>0</v>
      </c>
      <c r="K290">
        <f t="shared" si="19"/>
        <v>1</v>
      </c>
    </row>
    <row r="291" spans="1:11" x14ac:dyDescent="0.2">
      <c r="A291" s="472">
        <v>1286</v>
      </c>
      <c r="B291" s="472"/>
      <c r="C291" s="472"/>
      <c r="D291" s="472"/>
      <c r="E291" s="274"/>
      <c r="F291" s="274"/>
      <c r="G291" s="476"/>
      <c r="H291" s="483" t="str">
        <f t="shared" si="16"/>
        <v xml:space="preserve"> </v>
      </c>
      <c r="I291" s="471">
        <f t="shared" si="17"/>
        <v>1286</v>
      </c>
      <c r="J291" s="471">
        <f t="shared" si="18"/>
        <v>0</v>
      </c>
      <c r="K291">
        <f t="shared" si="19"/>
        <v>1</v>
      </c>
    </row>
    <row r="292" spans="1:11" x14ac:dyDescent="0.2">
      <c r="A292" s="472">
        <v>1287</v>
      </c>
      <c r="B292" s="472"/>
      <c r="C292" s="472"/>
      <c r="D292" s="472"/>
      <c r="E292" s="274"/>
      <c r="F292" s="274"/>
      <c r="G292" s="476"/>
      <c r="H292" s="483" t="str">
        <f t="shared" si="16"/>
        <v xml:space="preserve"> </v>
      </c>
      <c r="I292" s="471">
        <f t="shared" si="17"/>
        <v>1287</v>
      </c>
      <c r="J292" s="471">
        <f t="shared" si="18"/>
        <v>0</v>
      </c>
      <c r="K292">
        <f t="shared" si="19"/>
        <v>1</v>
      </c>
    </row>
    <row r="293" spans="1:11" x14ac:dyDescent="0.2">
      <c r="A293" s="472">
        <v>1288</v>
      </c>
      <c r="B293" s="472"/>
      <c r="C293" s="472"/>
      <c r="D293" s="472"/>
      <c r="E293" s="274"/>
      <c r="F293" s="274"/>
      <c r="G293" s="476"/>
      <c r="H293" s="483" t="str">
        <f t="shared" si="16"/>
        <v xml:space="preserve"> </v>
      </c>
      <c r="I293" s="471">
        <f t="shared" si="17"/>
        <v>1288</v>
      </c>
      <c r="J293" s="471">
        <f t="shared" si="18"/>
        <v>0</v>
      </c>
      <c r="K293">
        <f t="shared" si="19"/>
        <v>1</v>
      </c>
    </row>
    <row r="294" spans="1:11" x14ac:dyDescent="0.2">
      <c r="A294" s="472">
        <v>1289</v>
      </c>
      <c r="B294" s="475" t="s">
        <v>410</v>
      </c>
      <c r="C294" s="472"/>
      <c r="D294" s="472"/>
      <c r="E294" s="274"/>
      <c r="F294" s="274"/>
      <c r="G294" s="476"/>
      <c r="H294" s="483" t="str">
        <f t="shared" si="16"/>
        <v xml:space="preserve">Did Not Shoot </v>
      </c>
      <c r="I294" s="471">
        <f t="shared" si="17"/>
        <v>1289</v>
      </c>
      <c r="J294" s="471">
        <f t="shared" si="18"/>
        <v>0</v>
      </c>
      <c r="K294">
        <f t="shared" si="19"/>
        <v>14</v>
      </c>
    </row>
    <row r="295" spans="1:11" x14ac:dyDescent="0.2">
      <c r="A295" s="472">
        <v>1290</v>
      </c>
      <c r="B295" s="472"/>
      <c r="C295" s="472"/>
      <c r="D295" s="472"/>
      <c r="E295" s="274"/>
      <c r="F295" s="274"/>
      <c r="G295" s="476"/>
      <c r="H295" s="483" t="str">
        <f t="shared" si="16"/>
        <v xml:space="preserve"> </v>
      </c>
      <c r="I295" s="471">
        <f t="shared" si="17"/>
        <v>1290</v>
      </c>
      <c r="J295" s="471">
        <f t="shared" si="18"/>
        <v>0</v>
      </c>
      <c r="K295">
        <f t="shared" si="19"/>
        <v>1</v>
      </c>
    </row>
    <row r="296" spans="1:11" x14ac:dyDescent="0.2">
      <c r="A296" s="472">
        <v>1291</v>
      </c>
      <c r="B296" s="472"/>
      <c r="C296" s="472"/>
      <c r="D296" s="472"/>
      <c r="E296" s="274"/>
      <c r="F296" s="274"/>
      <c r="G296" s="476"/>
      <c r="H296" s="483" t="str">
        <f t="shared" si="16"/>
        <v xml:space="preserve"> </v>
      </c>
      <c r="I296" s="471">
        <f t="shared" si="17"/>
        <v>1291</v>
      </c>
      <c r="J296" s="471">
        <f t="shared" si="18"/>
        <v>0</v>
      </c>
      <c r="K296">
        <f t="shared" si="19"/>
        <v>1</v>
      </c>
    </row>
    <row r="297" spans="1:11" x14ac:dyDescent="0.2">
      <c r="A297" s="472">
        <v>1292</v>
      </c>
      <c r="B297" s="472"/>
      <c r="C297" s="472"/>
      <c r="D297" s="472"/>
      <c r="E297" s="274"/>
      <c r="F297" s="274"/>
      <c r="G297" s="476"/>
      <c r="H297" s="483" t="str">
        <f t="shared" si="16"/>
        <v xml:space="preserve"> </v>
      </c>
      <c r="I297" s="471">
        <f t="shared" si="17"/>
        <v>1292</v>
      </c>
      <c r="J297" s="471">
        <f t="shared" si="18"/>
        <v>0</v>
      </c>
      <c r="K297">
        <f t="shared" si="19"/>
        <v>1</v>
      </c>
    </row>
    <row r="298" spans="1:11" x14ac:dyDescent="0.2">
      <c r="A298" s="472">
        <v>1293</v>
      </c>
      <c r="B298" s="472"/>
      <c r="C298" s="472"/>
      <c r="D298" s="472"/>
      <c r="E298" s="274"/>
      <c r="F298" s="274"/>
      <c r="G298" s="476"/>
      <c r="H298" s="483" t="str">
        <f t="shared" si="16"/>
        <v xml:space="preserve"> </v>
      </c>
      <c r="I298" s="471">
        <f t="shared" si="17"/>
        <v>1293</v>
      </c>
      <c r="J298" s="471">
        <f t="shared" si="18"/>
        <v>0</v>
      </c>
      <c r="K298">
        <f t="shared" si="19"/>
        <v>1</v>
      </c>
    </row>
    <row r="299" spans="1:11" x14ac:dyDescent="0.2">
      <c r="A299" s="472">
        <v>1294</v>
      </c>
      <c r="B299" s="472"/>
      <c r="C299" s="472"/>
      <c r="D299" s="472"/>
      <c r="E299" s="274"/>
      <c r="F299" s="274"/>
      <c r="G299" s="476"/>
      <c r="H299" s="483" t="str">
        <f t="shared" si="16"/>
        <v xml:space="preserve"> </v>
      </c>
      <c r="I299" s="471">
        <f t="shared" si="17"/>
        <v>1294</v>
      </c>
      <c r="J299" s="471">
        <f t="shared" si="18"/>
        <v>0</v>
      </c>
      <c r="K299">
        <f t="shared" si="19"/>
        <v>1</v>
      </c>
    </row>
    <row r="300" spans="1:11" x14ac:dyDescent="0.2">
      <c r="A300" s="472">
        <v>1295</v>
      </c>
      <c r="B300" s="472"/>
      <c r="C300" s="472"/>
      <c r="D300" s="472"/>
      <c r="E300" s="274"/>
      <c r="F300" s="274"/>
      <c r="G300" s="476"/>
      <c r="H300" s="483" t="str">
        <f t="shared" si="16"/>
        <v xml:space="preserve"> </v>
      </c>
      <c r="I300" s="471">
        <f t="shared" si="17"/>
        <v>1295</v>
      </c>
      <c r="J300" s="471">
        <f t="shared" si="18"/>
        <v>0</v>
      </c>
      <c r="K300">
        <f t="shared" si="19"/>
        <v>1</v>
      </c>
    </row>
    <row r="301" spans="1:11" x14ac:dyDescent="0.2">
      <c r="A301" s="472">
        <v>1296</v>
      </c>
      <c r="B301" s="472"/>
      <c r="C301" s="472"/>
      <c r="D301" s="472"/>
      <c r="E301" s="274"/>
      <c r="F301" s="274"/>
      <c r="G301" s="476"/>
      <c r="H301" s="483" t="str">
        <f t="shared" si="16"/>
        <v xml:space="preserve"> </v>
      </c>
      <c r="I301" s="471">
        <f t="shared" si="17"/>
        <v>1296</v>
      </c>
      <c r="J301" s="471">
        <f t="shared" si="18"/>
        <v>0</v>
      </c>
      <c r="K301">
        <f t="shared" si="19"/>
        <v>1</v>
      </c>
    </row>
    <row r="302" spans="1:11" x14ac:dyDescent="0.2">
      <c r="A302" s="472">
        <v>1297</v>
      </c>
      <c r="B302" s="472"/>
      <c r="C302" s="472"/>
      <c r="D302" s="472"/>
      <c r="E302" s="274"/>
      <c r="F302" s="274"/>
      <c r="G302" s="476"/>
      <c r="H302" s="483" t="str">
        <f t="shared" si="16"/>
        <v xml:space="preserve"> </v>
      </c>
      <c r="I302" s="471">
        <f t="shared" si="17"/>
        <v>1297</v>
      </c>
      <c r="J302" s="471">
        <f t="shared" si="18"/>
        <v>0</v>
      </c>
      <c r="K302">
        <f t="shared" si="19"/>
        <v>1</v>
      </c>
    </row>
    <row r="303" spans="1:11" x14ac:dyDescent="0.2">
      <c r="A303" s="472">
        <v>1298</v>
      </c>
      <c r="B303" s="472"/>
      <c r="C303" s="472"/>
      <c r="D303" s="472"/>
      <c r="E303" s="274"/>
      <c r="F303" s="274"/>
      <c r="G303" s="476"/>
      <c r="H303" s="483" t="str">
        <f t="shared" si="16"/>
        <v xml:space="preserve"> </v>
      </c>
      <c r="I303" s="471">
        <f t="shared" si="17"/>
        <v>1298</v>
      </c>
      <c r="J303" s="471">
        <f t="shared" si="18"/>
        <v>0</v>
      </c>
      <c r="K303">
        <f t="shared" si="19"/>
        <v>1</v>
      </c>
    </row>
    <row r="304" spans="1:11" x14ac:dyDescent="0.2">
      <c r="A304" s="472">
        <v>1299</v>
      </c>
      <c r="B304" s="472"/>
      <c r="C304" s="472"/>
      <c r="D304" s="472"/>
      <c r="E304" s="274"/>
      <c r="F304" s="274"/>
      <c r="G304" s="476"/>
      <c r="H304" s="483" t="str">
        <f t="shared" si="16"/>
        <v xml:space="preserve"> </v>
      </c>
      <c r="I304" s="471">
        <f t="shared" si="17"/>
        <v>1299</v>
      </c>
      <c r="J304" s="471">
        <f t="shared" si="18"/>
        <v>0</v>
      </c>
      <c r="K304">
        <f t="shared" si="19"/>
        <v>1</v>
      </c>
    </row>
    <row r="305" spans="1:11" x14ac:dyDescent="0.2">
      <c r="A305" s="472">
        <v>1300</v>
      </c>
      <c r="B305" s="472"/>
      <c r="C305" s="472"/>
      <c r="D305" s="472"/>
      <c r="E305" s="274"/>
      <c r="F305" s="274"/>
      <c r="G305" s="476"/>
      <c r="H305" s="483" t="str">
        <f t="shared" si="16"/>
        <v xml:space="preserve"> </v>
      </c>
      <c r="I305" s="471">
        <f t="shared" si="17"/>
        <v>1300</v>
      </c>
      <c r="J305" s="471">
        <f t="shared" si="18"/>
        <v>0</v>
      </c>
      <c r="K305">
        <f t="shared" si="19"/>
        <v>1</v>
      </c>
    </row>
    <row r="306" spans="1:11" x14ac:dyDescent="0.2">
      <c r="A306" s="472">
        <v>1301</v>
      </c>
      <c r="B306" s="472"/>
      <c r="C306" s="472"/>
      <c r="D306" s="472"/>
      <c r="E306" s="274"/>
      <c r="F306" s="274"/>
      <c r="G306" s="476"/>
      <c r="H306" s="483" t="str">
        <f t="shared" si="16"/>
        <v xml:space="preserve"> </v>
      </c>
      <c r="I306" s="471">
        <f t="shared" si="17"/>
        <v>1301</v>
      </c>
      <c r="J306" s="471">
        <f t="shared" si="18"/>
        <v>0</v>
      </c>
      <c r="K306">
        <f t="shared" si="19"/>
        <v>1</v>
      </c>
    </row>
    <row r="307" spans="1:11" x14ac:dyDescent="0.2">
      <c r="A307" s="472">
        <v>1302</v>
      </c>
      <c r="B307" s="472"/>
      <c r="C307" s="472"/>
      <c r="D307" s="472"/>
      <c r="E307" s="274"/>
      <c r="F307" s="274"/>
      <c r="G307" s="476"/>
      <c r="H307" s="483" t="str">
        <f t="shared" si="16"/>
        <v xml:space="preserve"> </v>
      </c>
      <c r="I307" s="471">
        <f t="shared" si="17"/>
        <v>1302</v>
      </c>
      <c r="J307" s="471">
        <f t="shared" si="18"/>
        <v>0</v>
      </c>
      <c r="K307">
        <f t="shared" si="19"/>
        <v>1</v>
      </c>
    </row>
    <row r="308" spans="1:11" x14ac:dyDescent="0.2">
      <c r="A308" s="472">
        <v>1303</v>
      </c>
      <c r="B308" s="472"/>
      <c r="C308" s="472"/>
      <c r="D308" s="472"/>
      <c r="E308" s="274"/>
      <c r="F308" s="274"/>
      <c r="G308" s="476"/>
      <c r="H308" s="483" t="str">
        <f t="shared" si="16"/>
        <v xml:space="preserve"> </v>
      </c>
      <c r="I308" s="471">
        <f t="shared" si="17"/>
        <v>1303</v>
      </c>
      <c r="J308" s="471">
        <f t="shared" si="18"/>
        <v>0</v>
      </c>
      <c r="K308">
        <f t="shared" si="19"/>
        <v>1</v>
      </c>
    </row>
    <row r="309" spans="1:11" x14ac:dyDescent="0.2">
      <c r="A309" s="472">
        <v>1304</v>
      </c>
      <c r="B309" s="472"/>
      <c r="C309" s="472"/>
      <c r="D309" s="472"/>
      <c r="E309" s="274"/>
      <c r="F309" s="274"/>
      <c r="G309" s="476"/>
      <c r="H309" s="483" t="str">
        <f t="shared" si="16"/>
        <v xml:space="preserve"> </v>
      </c>
      <c r="I309" s="471">
        <f t="shared" si="17"/>
        <v>1304</v>
      </c>
      <c r="J309" s="471">
        <f t="shared" si="18"/>
        <v>0</v>
      </c>
      <c r="K309">
        <f t="shared" si="19"/>
        <v>1</v>
      </c>
    </row>
    <row r="310" spans="1:11" x14ac:dyDescent="0.2">
      <c r="A310" s="472">
        <v>1305</v>
      </c>
      <c r="B310" s="472"/>
      <c r="C310" s="472"/>
      <c r="D310" s="472"/>
      <c r="E310" s="274"/>
      <c r="F310" s="274"/>
      <c r="G310" s="476"/>
      <c r="H310" s="483" t="str">
        <f t="shared" si="16"/>
        <v xml:space="preserve"> </v>
      </c>
      <c r="I310" s="471">
        <f t="shared" si="17"/>
        <v>1305</v>
      </c>
      <c r="J310" s="471">
        <f t="shared" si="18"/>
        <v>0</v>
      </c>
      <c r="K310">
        <f t="shared" si="19"/>
        <v>1</v>
      </c>
    </row>
    <row r="311" spans="1:11" x14ac:dyDescent="0.2">
      <c r="A311" s="472">
        <v>1306</v>
      </c>
      <c r="B311" s="472"/>
      <c r="C311" s="472"/>
      <c r="D311" s="472"/>
      <c r="E311" s="274"/>
      <c r="F311" s="274"/>
      <c r="G311" s="476"/>
      <c r="H311" s="483" t="str">
        <f t="shared" si="16"/>
        <v xml:space="preserve"> </v>
      </c>
      <c r="I311" s="471">
        <f t="shared" si="17"/>
        <v>1306</v>
      </c>
      <c r="J311" s="471">
        <f t="shared" si="18"/>
        <v>0</v>
      </c>
      <c r="K311">
        <f t="shared" si="19"/>
        <v>1</v>
      </c>
    </row>
    <row r="312" spans="1:11" x14ac:dyDescent="0.2">
      <c r="A312" s="472">
        <v>1307</v>
      </c>
      <c r="B312" s="472"/>
      <c r="C312" s="472"/>
      <c r="D312" s="472"/>
      <c r="E312" s="274"/>
      <c r="F312" s="274"/>
      <c r="G312" s="476"/>
      <c r="H312" s="483" t="str">
        <f t="shared" si="16"/>
        <v xml:space="preserve"> </v>
      </c>
      <c r="I312" s="471">
        <f t="shared" si="17"/>
        <v>1307</v>
      </c>
      <c r="J312" s="471">
        <f t="shared" si="18"/>
        <v>0</v>
      </c>
      <c r="K312">
        <f t="shared" si="19"/>
        <v>1</v>
      </c>
    </row>
    <row r="313" spans="1:11" x14ac:dyDescent="0.2">
      <c r="A313" s="472">
        <v>1308</v>
      </c>
      <c r="B313" s="472"/>
      <c r="C313" s="472"/>
      <c r="D313" s="472"/>
      <c r="E313" s="274"/>
      <c r="F313" s="274"/>
      <c r="G313" s="476"/>
      <c r="H313" s="483" t="str">
        <f t="shared" si="16"/>
        <v xml:space="preserve"> </v>
      </c>
      <c r="I313" s="471">
        <f t="shared" si="17"/>
        <v>1308</v>
      </c>
      <c r="J313" s="471">
        <f t="shared" si="18"/>
        <v>0</v>
      </c>
      <c r="K313">
        <f t="shared" si="19"/>
        <v>1</v>
      </c>
    </row>
    <row r="314" spans="1:11" x14ac:dyDescent="0.2">
      <c r="A314" s="472">
        <v>1309</v>
      </c>
      <c r="B314" s="472"/>
      <c r="C314" s="472"/>
      <c r="D314" s="472"/>
      <c r="E314" s="274"/>
      <c r="F314" s="274"/>
      <c r="G314" s="476"/>
      <c r="H314" s="483" t="str">
        <f t="shared" si="16"/>
        <v xml:space="preserve"> </v>
      </c>
      <c r="I314" s="471">
        <f t="shared" si="17"/>
        <v>1309</v>
      </c>
      <c r="J314" s="471">
        <f t="shared" si="18"/>
        <v>0</v>
      </c>
      <c r="K314">
        <f t="shared" si="19"/>
        <v>1</v>
      </c>
    </row>
    <row r="315" spans="1:11" x14ac:dyDescent="0.2">
      <c r="A315" s="472">
        <v>1310</v>
      </c>
      <c r="B315" s="472"/>
      <c r="C315" s="472"/>
      <c r="D315" s="472"/>
      <c r="E315" s="274"/>
      <c r="F315" s="274"/>
      <c r="G315" s="476"/>
      <c r="H315" s="483" t="str">
        <f t="shared" si="16"/>
        <v xml:space="preserve"> </v>
      </c>
      <c r="I315" s="471">
        <f t="shared" si="17"/>
        <v>1310</v>
      </c>
      <c r="J315" s="471">
        <f t="shared" si="18"/>
        <v>0</v>
      </c>
      <c r="K315">
        <f t="shared" si="19"/>
        <v>1</v>
      </c>
    </row>
    <row r="316" spans="1:11" x14ac:dyDescent="0.2">
      <c r="A316" s="472">
        <v>1311</v>
      </c>
      <c r="B316" s="472"/>
      <c r="C316" s="472"/>
      <c r="D316" s="472"/>
      <c r="E316" s="274"/>
      <c r="F316" s="274"/>
      <c r="G316" s="476"/>
      <c r="H316" s="483" t="str">
        <f t="shared" si="16"/>
        <v xml:space="preserve"> </v>
      </c>
      <c r="I316" s="471">
        <f t="shared" si="17"/>
        <v>1311</v>
      </c>
      <c r="J316" s="471">
        <f t="shared" si="18"/>
        <v>0</v>
      </c>
      <c r="K316">
        <f t="shared" si="19"/>
        <v>1</v>
      </c>
    </row>
    <row r="317" spans="1:11" x14ac:dyDescent="0.2">
      <c r="A317" s="472">
        <v>1312</v>
      </c>
      <c r="B317" s="472"/>
      <c r="C317" s="472"/>
      <c r="D317" s="472"/>
      <c r="E317" s="274"/>
      <c r="F317" s="274"/>
      <c r="G317" s="476"/>
      <c r="H317" s="483" t="str">
        <f t="shared" si="16"/>
        <v xml:space="preserve"> </v>
      </c>
      <c r="I317" s="471">
        <f t="shared" si="17"/>
        <v>1312</v>
      </c>
      <c r="J317" s="471">
        <f t="shared" si="18"/>
        <v>0</v>
      </c>
      <c r="K317">
        <f t="shared" si="19"/>
        <v>1</v>
      </c>
    </row>
    <row r="318" spans="1:11" x14ac:dyDescent="0.2">
      <c r="A318" s="472">
        <v>1313</v>
      </c>
      <c r="B318" s="472"/>
      <c r="C318" s="472"/>
      <c r="D318" s="472"/>
      <c r="E318" s="274"/>
      <c r="F318" s="274"/>
      <c r="G318" s="476"/>
      <c r="H318" s="483" t="str">
        <f t="shared" si="16"/>
        <v xml:space="preserve"> </v>
      </c>
      <c r="I318" s="471">
        <f t="shared" si="17"/>
        <v>1313</v>
      </c>
      <c r="J318" s="471">
        <f t="shared" si="18"/>
        <v>0</v>
      </c>
      <c r="K318">
        <f t="shared" si="19"/>
        <v>1</v>
      </c>
    </row>
    <row r="319" spans="1:11" x14ac:dyDescent="0.2">
      <c r="A319" s="472">
        <v>1314</v>
      </c>
      <c r="B319" s="472"/>
      <c r="C319" s="472"/>
      <c r="D319" s="472"/>
      <c r="E319" s="274"/>
      <c r="F319" s="274"/>
      <c r="G319" s="476"/>
      <c r="H319" s="483" t="str">
        <f t="shared" si="16"/>
        <v xml:space="preserve"> </v>
      </c>
      <c r="I319" s="471">
        <f t="shared" si="17"/>
        <v>1314</v>
      </c>
      <c r="J319" s="471">
        <f t="shared" si="18"/>
        <v>0</v>
      </c>
      <c r="K319">
        <f t="shared" si="19"/>
        <v>1</v>
      </c>
    </row>
    <row r="320" spans="1:11" x14ac:dyDescent="0.2">
      <c r="A320" s="472">
        <v>1315</v>
      </c>
      <c r="B320" s="472"/>
      <c r="C320" s="472"/>
      <c r="D320" s="472"/>
      <c r="E320" s="274"/>
      <c r="F320" s="274"/>
      <c r="G320" s="476"/>
      <c r="H320" s="483" t="str">
        <f t="shared" si="16"/>
        <v xml:space="preserve"> </v>
      </c>
      <c r="I320" s="471">
        <f t="shared" si="17"/>
        <v>1315</v>
      </c>
      <c r="J320" s="471">
        <f t="shared" si="18"/>
        <v>0</v>
      </c>
      <c r="K320">
        <f t="shared" si="19"/>
        <v>1</v>
      </c>
    </row>
    <row r="321" spans="1:11" x14ac:dyDescent="0.2">
      <c r="A321" s="472">
        <v>1316</v>
      </c>
      <c r="B321" s="472"/>
      <c r="C321" s="472"/>
      <c r="D321" s="472"/>
      <c r="E321" s="274"/>
      <c r="F321" s="274"/>
      <c r="G321" s="476"/>
      <c r="H321" s="483" t="str">
        <f t="shared" si="16"/>
        <v xml:space="preserve"> </v>
      </c>
      <c r="I321" s="471">
        <f t="shared" si="17"/>
        <v>1316</v>
      </c>
      <c r="J321" s="471">
        <f t="shared" si="18"/>
        <v>0</v>
      </c>
      <c r="K321">
        <f t="shared" si="19"/>
        <v>1</v>
      </c>
    </row>
    <row r="322" spans="1:11" x14ac:dyDescent="0.2">
      <c r="A322" s="472">
        <v>1317</v>
      </c>
      <c r="B322" s="472"/>
      <c r="C322" s="472"/>
      <c r="D322" s="472"/>
      <c r="E322" s="274"/>
      <c r="F322" s="274"/>
      <c r="G322" s="476"/>
      <c r="H322" s="483" t="str">
        <f t="shared" si="16"/>
        <v xml:space="preserve"> </v>
      </c>
      <c r="I322" s="471">
        <f t="shared" si="17"/>
        <v>1317</v>
      </c>
      <c r="J322" s="471">
        <f t="shared" si="18"/>
        <v>0</v>
      </c>
      <c r="K322">
        <f t="shared" si="19"/>
        <v>1</v>
      </c>
    </row>
    <row r="323" spans="1:11" x14ac:dyDescent="0.2">
      <c r="A323" s="472">
        <v>1318</v>
      </c>
      <c r="B323" s="472"/>
      <c r="C323" s="472"/>
      <c r="D323" s="472"/>
      <c r="E323" s="274"/>
      <c r="F323" s="274"/>
      <c r="G323" s="476"/>
      <c r="H323" s="483" t="str">
        <f t="shared" si="16"/>
        <v xml:space="preserve"> </v>
      </c>
      <c r="I323" s="471">
        <f t="shared" si="17"/>
        <v>1318</v>
      </c>
      <c r="J323" s="471">
        <f t="shared" si="18"/>
        <v>0</v>
      </c>
      <c r="K323">
        <f t="shared" si="19"/>
        <v>1</v>
      </c>
    </row>
    <row r="324" spans="1:11" x14ac:dyDescent="0.2">
      <c r="A324" s="472">
        <v>1319</v>
      </c>
      <c r="B324" s="472"/>
      <c r="C324" s="472"/>
      <c r="D324" s="472"/>
      <c r="E324" s="274"/>
      <c r="F324" s="274"/>
      <c r="G324" s="476"/>
      <c r="H324" s="483" t="str">
        <f t="shared" si="16"/>
        <v xml:space="preserve"> </v>
      </c>
      <c r="I324" s="471">
        <f t="shared" si="17"/>
        <v>1319</v>
      </c>
      <c r="J324" s="471">
        <f t="shared" si="18"/>
        <v>0</v>
      </c>
      <c r="K324">
        <f t="shared" si="19"/>
        <v>1</v>
      </c>
    </row>
    <row r="325" spans="1:11" x14ac:dyDescent="0.2">
      <c r="A325" s="472">
        <v>1320</v>
      </c>
      <c r="B325" s="472"/>
      <c r="C325" s="472"/>
      <c r="D325" s="472"/>
      <c r="E325" s="274"/>
      <c r="F325" s="274"/>
      <c r="G325" s="476"/>
      <c r="H325" s="483" t="str">
        <f t="shared" si="16"/>
        <v xml:space="preserve"> </v>
      </c>
      <c r="I325" s="471">
        <f t="shared" si="17"/>
        <v>1320</v>
      </c>
      <c r="J325" s="471">
        <f t="shared" si="18"/>
        <v>0</v>
      </c>
      <c r="K325">
        <f t="shared" si="19"/>
        <v>1</v>
      </c>
    </row>
    <row r="326" spans="1:11" x14ac:dyDescent="0.2">
      <c r="A326" s="472">
        <v>1321</v>
      </c>
      <c r="B326" s="472"/>
      <c r="C326" s="472"/>
      <c r="D326" s="472"/>
      <c r="E326" s="274"/>
      <c r="F326" s="274"/>
      <c r="G326" s="476"/>
      <c r="H326" s="483" t="str">
        <f t="shared" ref="H326:H389" si="20">CONCATENATE(B326," ",C326)</f>
        <v xml:space="preserve"> </v>
      </c>
      <c r="I326" s="471">
        <f t="shared" ref="I326:I389" si="21">A326</f>
        <v>1321</v>
      </c>
      <c r="J326" s="471">
        <f t="shared" ref="J326:J389" si="22">G326</f>
        <v>0</v>
      </c>
      <c r="K326">
        <f t="shared" ref="K326:K389" si="23">LEN(H326)</f>
        <v>1</v>
      </c>
    </row>
    <row r="327" spans="1:11" x14ac:dyDescent="0.2">
      <c r="A327" s="472">
        <v>1322</v>
      </c>
      <c r="B327" s="475" t="s">
        <v>410</v>
      </c>
      <c r="C327" s="472"/>
      <c r="D327" s="472"/>
      <c r="E327" s="274"/>
      <c r="F327" s="274"/>
      <c r="G327" s="476"/>
      <c r="H327" s="483" t="str">
        <f t="shared" si="20"/>
        <v xml:space="preserve">Did Not Shoot </v>
      </c>
      <c r="I327" s="471">
        <f t="shared" si="21"/>
        <v>1322</v>
      </c>
      <c r="J327" s="471">
        <f t="shared" si="22"/>
        <v>0</v>
      </c>
      <c r="K327">
        <f t="shared" si="23"/>
        <v>14</v>
      </c>
    </row>
    <row r="328" spans="1:11" x14ac:dyDescent="0.2">
      <c r="A328" s="472">
        <v>1323</v>
      </c>
      <c r="B328" s="472"/>
      <c r="C328" s="472"/>
      <c r="D328" s="472"/>
      <c r="E328" s="274"/>
      <c r="F328" s="274"/>
      <c r="G328" s="476"/>
      <c r="H328" s="483" t="str">
        <f t="shared" si="20"/>
        <v xml:space="preserve"> </v>
      </c>
      <c r="I328" s="471">
        <f t="shared" si="21"/>
        <v>1323</v>
      </c>
      <c r="J328" s="471">
        <f t="shared" si="22"/>
        <v>0</v>
      </c>
      <c r="K328">
        <f t="shared" si="23"/>
        <v>1</v>
      </c>
    </row>
    <row r="329" spans="1:11" x14ac:dyDescent="0.2">
      <c r="A329" s="472">
        <v>1324</v>
      </c>
      <c r="B329" s="472"/>
      <c r="C329" s="472"/>
      <c r="D329" s="472"/>
      <c r="E329" s="274"/>
      <c r="F329" s="274"/>
      <c r="G329" s="476"/>
      <c r="H329" s="483" t="str">
        <f t="shared" si="20"/>
        <v xml:space="preserve"> </v>
      </c>
      <c r="I329" s="471">
        <f t="shared" si="21"/>
        <v>1324</v>
      </c>
      <c r="J329" s="471">
        <f t="shared" si="22"/>
        <v>0</v>
      </c>
      <c r="K329">
        <f t="shared" si="23"/>
        <v>1</v>
      </c>
    </row>
    <row r="330" spans="1:11" x14ac:dyDescent="0.2">
      <c r="A330" s="472">
        <v>1325</v>
      </c>
      <c r="B330" s="472"/>
      <c r="C330" s="472"/>
      <c r="D330" s="472"/>
      <c r="E330" s="274"/>
      <c r="F330" s="274"/>
      <c r="G330" s="476"/>
      <c r="H330" s="483" t="str">
        <f t="shared" si="20"/>
        <v xml:space="preserve"> </v>
      </c>
      <c r="I330" s="471">
        <f t="shared" si="21"/>
        <v>1325</v>
      </c>
      <c r="J330" s="471">
        <f t="shared" si="22"/>
        <v>0</v>
      </c>
      <c r="K330">
        <f t="shared" si="23"/>
        <v>1</v>
      </c>
    </row>
    <row r="331" spans="1:11" x14ac:dyDescent="0.2">
      <c r="A331" s="472">
        <v>1326</v>
      </c>
      <c r="B331" s="475" t="s">
        <v>410</v>
      </c>
      <c r="C331" s="472"/>
      <c r="D331" s="472"/>
      <c r="E331" s="274"/>
      <c r="F331" s="274"/>
      <c r="G331" s="476"/>
      <c r="H331" s="483" t="str">
        <f t="shared" si="20"/>
        <v xml:space="preserve">Did Not Shoot </v>
      </c>
      <c r="I331" s="471">
        <f t="shared" si="21"/>
        <v>1326</v>
      </c>
      <c r="J331" s="471">
        <f t="shared" si="22"/>
        <v>0</v>
      </c>
      <c r="K331">
        <f t="shared" si="23"/>
        <v>14</v>
      </c>
    </row>
    <row r="332" spans="1:11" x14ac:dyDescent="0.2">
      <c r="A332" s="472">
        <v>1327</v>
      </c>
      <c r="B332" s="472"/>
      <c r="C332" s="472"/>
      <c r="D332" s="472"/>
      <c r="E332" s="274"/>
      <c r="F332" s="274"/>
      <c r="G332" s="476"/>
      <c r="H332" s="483" t="str">
        <f t="shared" si="20"/>
        <v xml:space="preserve"> </v>
      </c>
      <c r="I332" s="471">
        <f t="shared" si="21"/>
        <v>1327</v>
      </c>
      <c r="J332" s="471">
        <f t="shared" si="22"/>
        <v>0</v>
      </c>
      <c r="K332">
        <f t="shared" si="23"/>
        <v>1</v>
      </c>
    </row>
    <row r="333" spans="1:11" x14ac:dyDescent="0.2">
      <c r="A333" s="472">
        <v>1328</v>
      </c>
      <c r="B333" s="472"/>
      <c r="C333" s="472"/>
      <c r="D333" s="472"/>
      <c r="E333" s="274"/>
      <c r="F333" s="274"/>
      <c r="G333" s="476"/>
      <c r="H333" s="483" t="str">
        <f t="shared" si="20"/>
        <v xml:space="preserve"> </v>
      </c>
      <c r="I333" s="471">
        <f t="shared" si="21"/>
        <v>1328</v>
      </c>
      <c r="J333" s="471">
        <f t="shared" si="22"/>
        <v>0</v>
      </c>
      <c r="K333">
        <f t="shared" si="23"/>
        <v>1</v>
      </c>
    </row>
    <row r="334" spans="1:11" x14ac:dyDescent="0.2">
      <c r="A334" s="472">
        <v>1329</v>
      </c>
      <c r="B334" s="472"/>
      <c r="C334" s="472"/>
      <c r="D334" s="472"/>
      <c r="E334" s="274"/>
      <c r="F334" s="274"/>
      <c r="G334" s="476"/>
      <c r="H334" s="483" t="str">
        <f t="shared" si="20"/>
        <v xml:space="preserve"> </v>
      </c>
      <c r="I334" s="471">
        <f t="shared" si="21"/>
        <v>1329</v>
      </c>
      <c r="J334" s="471">
        <f t="shared" si="22"/>
        <v>0</v>
      </c>
      <c r="K334">
        <f t="shared" si="23"/>
        <v>1</v>
      </c>
    </row>
    <row r="335" spans="1:11" x14ac:dyDescent="0.2">
      <c r="A335" s="472">
        <v>1330</v>
      </c>
      <c r="B335" s="472"/>
      <c r="C335" s="472"/>
      <c r="D335" s="472"/>
      <c r="E335" s="274"/>
      <c r="F335" s="274"/>
      <c r="G335" s="476"/>
      <c r="H335" s="483" t="str">
        <f t="shared" si="20"/>
        <v xml:space="preserve"> </v>
      </c>
      <c r="I335" s="471">
        <f t="shared" si="21"/>
        <v>1330</v>
      </c>
      <c r="J335" s="471">
        <f t="shared" si="22"/>
        <v>0</v>
      </c>
      <c r="K335">
        <f t="shared" si="23"/>
        <v>1</v>
      </c>
    </row>
    <row r="336" spans="1:11" x14ac:dyDescent="0.2">
      <c r="A336" s="472">
        <v>1331</v>
      </c>
      <c r="B336" s="472"/>
      <c r="C336" s="472"/>
      <c r="D336" s="472"/>
      <c r="E336" s="274"/>
      <c r="F336" s="274"/>
      <c r="G336" s="476"/>
      <c r="H336" s="483" t="str">
        <f t="shared" si="20"/>
        <v xml:space="preserve"> </v>
      </c>
      <c r="I336" s="471">
        <f t="shared" si="21"/>
        <v>1331</v>
      </c>
      <c r="J336" s="471">
        <f t="shared" si="22"/>
        <v>0</v>
      </c>
      <c r="K336">
        <f t="shared" si="23"/>
        <v>1</v>
      </c>
    </row>
    <row r="337" spans="1:11" x14ac:dyDescent="0.2">
      <c r="A337" s="472">
        <v>1332</v>
      </c>
      <c r="B337" s="472"/>
      <c r="C337" s="472"/>
      <c r="D337" s="472"/>
      <c r="E337" s="274"/>
      <c r="F337" s="274"/>
      <c r="G337" s="476"/>
      <c r="H337" s="483" t="str">
        <f t="shared" si="20"/>
        <v xml:space="preserve"> </v>
      </c>
      <c r="I337" s="471">
        <f t="shared" si="21"/>
        <v>1332</v>
      </c>
      <c r="J337" s="471">
        <f t="shared" si="22"/>
        <v>0</v>
      </c>
      <c r="K337">
        <f t="shared" si="23"/>
        <v>1</v>
      </c>
    </row>
    <row r="338" spans="1:11" x14ac:dyDescent="0.2">
      <c r="A338" s="472">
        <v>1333</v>
      </c>
      <c r="B338" s="472"/>
      <c r="C338" s="472"/>
      <c r="D338" s="472"/>
      <c r="E338" s="274"/>
      <c r="F338" s="274"/>
      <c r="G338" s="476"/>
      <c r="H338" s="483" t="str">
        <f t="shared" si="20"/>
        <v xml:space="preserve"> </v>
      </c>
      <c r="I338" s="471">
        <f t="shared" si="21"/>
        <v>1333</v>
      </c>
      <c r="J338" s="471">
        <f t="shared" si="22"/>
        <v>0</v>
      </c>
      <c r="K338">
        <f t="shared" si="23"/>
        <v>1</v>
      </c>
    </row>
    <row r="339" spans="1:11" x14ac:dyDescent="0.2">
      <c r="A339" s="472">
        <v>1334</v>
      </c>
      <c r="B339" s="472"/>
      <c r="C339" s="472"/>
      <c r="D339" s="472"/>
      <c r="E339" s="274"/>
      <c r="F339" s="274"/>
      <c r="G339" s="476"/>
      <c r="H339" s="483" t="str">
        <f t="shared" si="20"/>
        <v xml:space="preserve"> </v>
      </c>
      <c r="I339" s="471">
        <f t="shared" si="21"/>
        <v>1334</v>
      </c>
      <c r="J339" s="471">
        <f t="shared" si="22"/>
        <v>0</v>
      </c>
      <c r="K339">
        <f t="shared" si="23"/>
        <v>1</v>
      </c>
    </row>
    <row r="340" spans="1:11" x14ac:dyDescent="0.2">
      <c r="A340" s="472">
        <v>1335</v>
      </c>
      <c r="B340" s="472"/>
      <c r="C340" s="472"/>
      <c r="D340" s="472"/>
      <c r="E340" s="274"/>
      <c r="F340" s="274"/>
      <c r="G340" s="476"/>
      <c r="H340" s="483" t="str">
        <f t="shared" si="20"/>
        <v xml:space="preserve"> </v>
      </c>
      <c r="I340" s="471">
        <f t="shared" si="21"/>
        <v>1335</v>
      </c>
      <c r="J340" s="471">
        <f t="shared" si="22"/>
        <v>0</v>
      </c>
      <c r="K340">
        <f t="shared" si="23"/>
        <v>1</v>
      </c>
    </row>
    <row r="341" spans="1:11" x14ac:dyDescent="0.2">
      <c r="A341" s="472">
        <v>1336</v>
      </c>
      <c r="B341" s="472"/>
      <c r="C341" s="472"/>
      <c r="D341" s="472"/>
      <c r="E341" s="274"/>
      <c r="F341" s="274"/>
      <c r="G341" s="476"/>
      <c r="H341" s="483" t="str">
        <f t="shared" si="20"/>
        <v xml:space="preserve"> </v>
      </c>
      <c r="I341" s="471">
        <f t="shared" si="21"/>
        <v>1336</v>
      </c>
      <c r="J341" s="471">
        <f t="shared" si="22"/>
        <v>0</v>
      </c>
      <c r="K341">
        <f t="shared" si="23"/>
        <v>1</v>
      </c>
    </row>
    <row r="342" spans="1:11" x14ac:dyDescent="0.2">
      <c r="A342" s="472">
        <v>1337</v>
      </c>
      <c r="B342" s="472"/>
      <c r="C342" s="472"/>
      <c r="D342" s="472"/>
      <c r="E342" s="274"/>
      <c r="F342" s="274"/>
      <c r="G342" s="476"/>
      <c r="H342" s="483" t="str">
        <f t="shared" si="20"/>
        <v xml:space="preserve"> </v>
      </c>
      <c r="I342" s="471">
        <f t="shared" si="21"/>
        <v>1337</v>
      </c>
      <c r="J342" s="471">
        <f t="shared" si="22"/>
        <v>0</v>
      </c>
      <c r="K342">
        <f t="shared" si="23"/>
        <v>1</v>
      </c>
    </row>
    <row r="343" spans="1:11" x14ac:dyDescent="0.2">
      <c r="A343" s="472">
        <v>1338</v>
      </c>
      <c r="B343" s="472"/>
      <c r="C343" s="472"/>
      <c r="D343" s="472"/>
      <c r="E343" s="274"/>
      <c r="F343" s="274"/>
      <c r="G343" s="476"/>
      <c r="H343" s="483" t="str">
        <f t="shared" si="20"/>
        <v xml:space="preserve"> </v>
      </c>
      <c r="I343" s="471">
        <f t="shared" si="21"/>
        <v>1338</v>
      </c>
      <c r="J343" s="471">
        <f t="shared" si="22"/>
        <v>0</v>
      </c>
      <c r="K343">
        <f t="shared" si="23"/>
        <v>1</v>
      </c>
    </row>
    <row r="344" spans="1:11" x14ac:dyDescent="0.2">
      <c r="A344" s="472">
        <v>1339</v>
      </c>
      <c r="B344" s="472"/>
      <c r="C344" s="472"/>
      <c r="D344" s="472"/>
      <c r="E344" s="274"/>
      <c r="F344" s="274"/>
      <c r="G344" s="476"/>
      <c r="H344" s="483" t="str">
        <f t="shared" si="20"/>
        <v xml:space="preserve"> </v>
      </c>
      <c r="I344" s="471">
        <f t="shared" si="21"/>
        <v>1339</v>
      </c>
      <c r="J344" s="471">
        <f t="shared" si="22"/>
        <v>0</v>
      </c>
      <c r="K344">
        <f t="shared" si="23"/>
        <v>1</v>
      </c>
    </row>
    <row r="345" spans="1:11" x14ac:dyDescent="0.2">
      <c r="A345" s="472">
        <v>1340</v>
      </c>
      <c r="B345" s="472"/>
      <c r="C345" s="472"/>
      <c r="D345" s="472"/>
      <c r="E345" s="274"/>
      <c r="F345" s="274"/>
      <c r="G345" s="476"/>
      <c r="H345" s="483" t="str">
        <f t="shared" si="20"/>
        <v xml:space="preserve"> </v>
      </c>
      <c r="I345" s="471">
        <f t="shared" si="21"/>
        <v>1340</v>
      </c>
      <c r="J345" s="471">
        <f t="shared" si="22"/>
        <v>0</v>
      </c>
      <c r="K345">
        <f t="shared" si="23"/>
        <v>1</v>
      </c>
    </row>
    <row r="346" spans="1:11" x14ac:dyDescent="0.2">
      <c r="A346" s="472">
        <v>1341</v>
      </c>
      <c r="B346" s="472"/>
      <c r="C346" s="472"/>
      <c r="D346" s="472"/>
      <c r="E346" s="274"/>
      <c r="F346" s="274"/>
      <c r="G346" s="476"/>
      <c r="H346" s="483" t="str">
        <f t="shared" si="20"/>
        <v xml:space="preserve"> </v>
      </c>
      <c r="I346" s="471">
        <f t="shared" si="21"/>
        <v>1341</v>
      </c>
      <c r="J346" s="471">
        <f t="shared" si="22"/>
        <v>0</v>
      </c>
      <c r="K346">
        <f t="shared" si="23"/>
        <v>1</v>
      </c>
    </row>
    <row r="347" spans="1:11" x14ac:dyDescent="0.2">
      <c r="A347" s="472">
        <v>1342</v>
      </c>
      <c r="B347" s="472"/>
      <c r="C347" s="472"/>
      <c r="D347" s="472"/>
      <c r="E347" s="274"/>
      <c r="F347" s="274"/>
      <c r="G347" s="476"/>
      <c r="H347" s="483" t="str">
        <f t="shared" si="20"/>
        <v xml:space="preserve"> </v>
      </c>
      <c r="I347" s="471">
        <f t="shared" si="21"/>
        <v>1342</v>
      </c>
      <c r="J347" s="471">
        <f t="shared" si="22"/>
        <v>0</v>
      </c>
      <c r="K347">
        <f t="shared" si="23"/>
        <v>1</v>
      </c>
    </row>
    <row r="348" spans="1:11" x14ac:dyDescent="0.2">
      <c r="A348" s="472">
        <v>1343</v>
      </c>
      <c r="B348" s="472"/>
      <c r="C348" s="472"/>
      <c r="D348" s="472"/>
      <c r="E348" s="274"/>
      <c r="F348" s="274"/>
      <c r="G348" s="476"/>
      <c r="H348" s="483" t="str">
        <f t="shared" si="20"/>
        <v xml:space="preserve"> </v>
      </c>
      <c r="I348" s="471">
        <f t="shared" si="21"/>
        <v>1343</v>
      </c>
      <c r="J348" s="471">
        <f t="shared" si="22"/>
        <v>0</v>
      </c>
      <c r="K348">
        <f t="shared" si="23"/>
        <v>1</v>
      </c>
    </row>
    <row r="349" spans="1:11" x14ac:dyDescent="0.2">
      <c r="A349" s="472">
        <v>1344</v>
      </c>
      <c r="B349" s="472"/>
      <c r="C349" s="472"/>
      <c r="D349" s="472"/>
      <c r="E349" s="274"/>
      <c r="F349" s="274"/>
      <c r="G349" s="476"/>
      <c r="H349" s="483" t="str">
        <f t="shared" si="20"/>
        <v xml:space="preserve"> </v>
      </c>
      <c r="I349" s="471">
        <f t="shared" si="21"/>
        <v>1344</v>
      </c>
      <c r="J349" s="471">
        <f t="shared" si="22"/>
        <v>0</v>
      </c>
      <c r="K349">
        <f t="shared" si="23"/>
        <v>1</v>
      </c>
    </row>
    <row r="350" spans="1:11" x14ac:dyDescent="0.2">
      <c r="A350" s="472">
        <v>1345</v>
      </c>
      <c r="B350" s="472"/>
      <c r="C350" s="472"/>
      <c r="D350" s="472"/>
      <c r="E350" s="274"/>
      <c r="F350" s="274"/>
      <c r="G350" s="476"/>
      <c r="H350" s="483" t="str">
        <f t="shared" si="20"/>
        <v xml:space="preserve"> </v>
      </c>
      <c r="I350" s="471">
        <f t="shared" si="21"/>
        <v>1345</v>
      </c>
      <c r="J350" s="471">
        <f t="shared" si="22"/>
        <v>0</v>
      </c>
      <c r="K350">
        <f t="shared" si="23"/>
        <v>1</v>
      </c>
    </row>
    <row r="351" spans="1:11" x14ac:dyDescent="0.2">
      <c r="A351" s="472">
        <v>1346</v>
      </c>
      <c r="B351" s="472"/>
      <c r="C351" s="472"/>
      <c r="D351" s="472"/>
      <c r="E351" s="274"/>
      <c r="F351" s="274"/>
      <c r="G351" s="476"/>
      <c r="H351" s="483" t="str">
        <f t="shared" si="20"/>
        <v xml:space="preserve"> </v>
      </c>
      <c r="I351" s="471">
        <f t="shared" si="21"/>
        <v>1346</v>
      </c>
      <c r="J351" s="471">
        <f t="shared" si="22"/>
        <v>0</v>
      </c>
      <c r="K351">
        <f t="shared" si="23"/>
        <v>1</v>
      </c>
    </row>
    <row r="352" spans="1:11" x14ac:dyDescent="0.2">
      <c r="A352" s="472">
        <v>1347</v>
      </c>
      <c r="B352" s="472"/>
      <c r="C352" s="472"/>
      <c r="D352" s="472"/>
      <c r="E352" s="274"/>
      <c r="F352" s="274"/>
      <c r="G352" s="476"/>
      <c r="H352" s="483" t="str">
        <f t="shared" si="20"/>
        <v xml:space="preserve"> </v>
      </c>
      <c r="I352" s="471">
        <f t="shared" si="21"/>
        <v>1347</v>
      </c>
      <c r="J352" s="471">
        <f t="shared" si="22"/>
        <v>0</v>
      </c>
      <c r="K352">
        <f t="shared" si="23"/>
        <v>1</v>
      </c>
    </row>
    <row r="353" spans="1:11" x14ac:dyDescent="0.2">
      <c r="A353" s="472">
        <v>1348</v>
      </c>
      <c r="B353" s="475" t="s">
        <v>410</v>
      </c>
      <c r="C353" s="472"/>
      <c r="D353" s="472"/>
      <c r="E353" s="274"/>
      <c r="F353" s="274"/>
      <c r="G353" s="476"/>
      <c r="H353" s="483" t="str">
        <f t="shared" si="20"/>
        <v xml:space="preserve">Did Not Shoot </v>
      </c>
      <c r="I353" s="471">
        <f t="shared" si="21"/>
        <v>1348</v>
      </c>
      <c r="J353" s="471">
        <f t="shared" si="22"/>
        <v>0</v>
      </c>
      <c r="K353">
        <f t="shared" si="23"/>
        <v>14</v>
      </c>
    </row>
    <row r="354" spans="1:11" x14ac:dyDescent="0.2">
      <c r="A354" s="472">
        <v>1349</v>
      </c>
      <c r="B354" s="472"/>
      <c r="C354" s="472"/>
      <c r="D354" s="472"/>
      <c r="E354" s="274"/>
      <c r="F354" s="274"/>
      <c r="G354" s="476"/>
      <c r="H354" s="483" t="str">
        <f t="shared" si="20"/>
        <v xml:space="preserve"> </v>
      </c>
      <c r="I354" s="471">
        <f t="shared" si="21"/>
        <v>1349</v>
      </c>
      <c r="J354" s="471">
        <f t="shared" si="22"/>
        <v>0</v>
      </c>
      <c r="K354">
        <f t="shared" si="23"/>
        <v>1</v>
      </c>
    </row>
    <row r="355" spans="1:11" x14ac:dyDescent="0.2">
      <c r="A355" s="472">
        <v>1350</v>
      </c>
      <c r="B355" s="472"/>
      <c r="C355" s="472"/>
      <c r="D355" s="472"/>
      <c r="E355" s="274"/>
      <c r="F355" s="274"/>
      <c r="G355" s="476"/>
      <c r="H355" s="483" t="str">
        <f t="shared" si="20"/>
        <v xml:space="preserve"> </v>
      </c>
      <c r="I355" s="471">
        <f t="shared" si="21"/>
        <v>1350</v>
      </c>
      <c r="J355" s="471">
        <f t="shared" si="22"/>
        <v>0</v>
      </c>
      <c r="K355">
        <f t="shared" si="23"/>
        <v>1</v>
      </c>
    </row>
    <row r="356" spans="1:11" x14ac:dyDescent="0.2">
      <c r="A356" s="472">
        <v>1351</v>
      </c>
      <c r="B356" s="472"/>
      <c r="C356" s="472"/>
      <c r="D356" s="472"/>
      <c r="E356" s="274"/>
      <c r="F356" s="274"/>
      <c r="G356" s="476"/>
      <c r="H356" s="483" t="str">
        <f t="shared" si="20"/>
        <v xml:space="preserve"> </v>
      </c>
      <c r="I356" s="471">
        <f t="shared" si="21"/>
        <v>1351</v>
      </c>
      <c r="J356" s="471">
        <f t="shared" si="22"/>
        <v>0</v>
      </c>
      <c r="K356">
        <f t="shared" si="23"/>
        <v>1</v>
      </c>
    </row>
    <row r="357" spans="1:11" x14ac:dyDescent="0.2">
      <c r="A357" s="472">
        <v>1352</v>
      </c>
      <c r="B357" s="472"/>
      <c r="C357" s="472"/>
      <c r="D357" s="472"/>
      <c r="E357" s="274"/>
      <c r="F357" s="274"/>
      <c r="G357" s="476"/>
      <c r="H357" s="483" t="str">
        <f t="shared" si="20"/>
        <v xml:space="preserve"> </v>
      </c>
      <c r="I357" s="471">
        <f t="shared" si="21"/>
        <v>1352</v>
      </c>
      <c r="J357" s="471">
        <f t="shared" si="22"/>
        <v>0</v>
      </c>
      <c r="K357">
        <f t="shared" si="23"/>
        <v>1</v>
      </c>
    </row>
    <row r="358" spans="1:11" x14ac:dyDescent="0.2">
      <c r="A358" s="472">
        <v>1353</v>
      </c>
      <c r="B358" s="472"/>
      <c r="C358" s="472"/>
      <c r="D358" s="472"/>
      <c r="E358" s="274"/>
      <c r="F358" s="274"/>
      <c r="G358" s="476"/>
      <c r="H358" s="483" t="str">
        <f t="shared" si="20"/>
        <v xml:space="preserve"> </v>
      </c>
      <c r="I358" s="471">
        <f t="shared" si="21"/>
        <v>1353</v>
      </c>
      <c r="J358" s="471">
        <f t="shared" si="22"/>
        <v>0</v>
      </c>
      <c r="K358">
        <f t="shared" si="23"/>
        <v>1</v>
      </c>
    </row>
    <row r="359" spans="1:11" x14ac:dyDescent="0.2">
      <c r="A359" s="472">
        <v>1354</v>
      </c>
      <c r="B359" s="472"/>
      <c r="C359" s="472"/>
      <c r="D359" s="472"/>
      <c r="E359" s="274"/>
      <c r="F359" s="274"/>
      <c r="G359" s="476"/>
      <c r="H359" s="483" t="str">
        <f t="shared" si="20"/>
        <v xml:space="preserve"> </v>
      </c>
      <c r="I359" s="471">
        <f t="shared" si="21"/>
        <v>1354</v>
      </c>
      <c r="J359" s="471">
        <f t="shared" si="22"/>
        <v>0</v>
      </c>
      <c r="K359">
        <f t="shared" si="23"/>
        <v>1</v>
      </c>
    </row>
    <row r="360" spans="1:11" x14ac:dyDescent="0.2">
      <c r="A360" s="472">
        <v>1355</v>
      </c>
      <c r="B360" s="472"/>
      <c r="C360" s="472"/>
      <c r="D360" s="472"/>
      <c r="E360" s="274"/>
      <c r="F360" s="274"/>
      <c r="G360" s="476"/>
      <c r="H360" s="483" t="str">
        <f t="shared" si="20"/>
        <v xml:space="preserve"> </v>
      </c>
      <c r="I360" s="471">
        <f t="shared" si="21"/>
        <v>1355</v>
      </c>
      <c r="J360" s="471">
        <f t="shared" si="22"/>
        <v>0</v>
      </c>
      <c r="K360">
        <f t="shared" si="23"/>
        <v>1</v>
      </c>
    </row>
    <row r="361" spans="1:11" x14ac:dyDescent="0.2">
      <c r="A361" s="472">
        <v>1356</v>
      </c>
      <c r="B361" s="472"/>
      <c r="C361" s="472"/>
      <c r="D361" s="472"/>
      <c r="E361" s="274"/>
      <c r="F361" s="274"/>
      <c r="G361" s="476"/>
      <c r="H361" s="483" t="str">
        <f t="shared" si="20"/>
        <v xml:space="preserve"> </v>
      </c>
      <c r="I361" s="471">
        <f t="shared" si="21"/>
        <v>1356</v>
      </c>
      <c r="J361" s="471">
        <f t="shared" si="22"/>
        <v>0</v>
      </c>
      <c r="K361">
        <f t="shared" si="23"/>
        <v>1</v>
      </c>
    </row>
    <row r="362" spans="1:11" x14ac:dyDescent="0.2">
      <c r="A362" s="472">
        <v>1357</v>
      </c>
      <c r="B362" s="472"/>
      <c r="C362" s="472"/>
      <c r="D362" s="472"/>
      <c r="E362" s="274"/>
      <c r="F362" s="274"/>
      <c r="G362" s="476"/>
      <c r="H362" s="483" t="str">
        <f t="shared" si="20"/>
        <v xml:space="preserve"> </v>
      </c>
      <c r="I362" s="471">
        <f t="shared" si="21"/>
        <v>1357</v>
      </c>
      <c r="J362" s="471">
        <f t="shared" si="22"/>
        <v>0</v>
      </c>
      <c r="K362">
        <f t="shared" si="23"/>
        <v>1</v>
      </c>
    </row>
    <row r="363" spans="1:11" x14ac:dyDescent="0.2">
      <c r="A363" s="472">
        <v>1358</v>
      </c>
      <c r="B363" s="472"/>
      <c r="C363" s="472"/>
      <c r="D363" s="472"/>
      <c r="E363" s="274"/>
      <c r="F363" s="274"/>
      <c r="G363" s="476"/>
      <c r="H363" s="483" t="str">
        <f t="shared" si="20"/>
        <v xml:space="preserve"> </v>
      </c>
      <c r="I363" s="471">
        <f t="shared" si="21"/>
        <v>1358</v>
      </c>
      <c r="J363" s="471">
        <f t="shared" si="22"/>
        <v>0</v>
      </c>
      <c r="K363">
        <f t="shared" si="23"/>
        <v>1</v>
      </c>
    </row>
    <row r="364" spans="1:11" x14ac:dyDescent="0.2">
      <c r="A364" s="472">
        <v>1359</v>
      </c>
      <c r="B364" s="472"/>
      <c r="C364" s="472"/>
      <c r="D364" s="472"/>
      <c r="E364" s="274"/>
      <c r="F364" s="274"/>
      <c r="G364" s="476"/>
      <c r="H364" s="483" t="str">
        <f t="shared" si="20"/>
        <v xml:space="preserve"> </v>
      </c>
      <c r="I364" s="471">
        <f t="shared" si="21"/>
        <v>1359</v>
      </c>
      <c r="J364" s="471">
        <f t="shared" si="22"/>
        <v>0</v>
      </c>
      <c r="K364">
        <f t="shared" si="23"/>
        <v>1</v>
      </c>
    </row>
    <row r="365" spans="1:11" x14ac:dyDescent="0.2">
      <c r="A365" s="472">
        <v>1360</v>
      </c>
      <c r="B365" s="472"/>
      <c r="C365" s="472"/>
      <c r="D365" s="472"/>
      <c r="E365" s="274"/>
      <c r="F365" s="274"/>
      <c r="G365" s="476"/>
      <c r="H365" s="483" t="str">
        <f t="shared" si="20"/>
        <v xml:space="preserve"> </v>
      </c>
      <c r="I365" s="471">
        <f t="shared" si="21"/>
        <v>1360</v>
      </c>
      <c r="J365" s="471">
        <f t="shared" si="22"/>
        <v>0</v>
      </c>
      <c r="K365">
        <f t="shared" si="23"/>
        <v>1</v>
      </c>
    </row>
    <row r="366" spans="1:11" x14ac:dyDescent="0.2">
      <c r="A366" s="472">
        <v>1361</v>
      </c>
      <c r="B366" s="472"/>
      <c r="C366" s="472"/>
      <c r="D366" s="472"/>
      <c r="E366" s="274"/>
      <c r="F366" s="274"/>
      <c r="G366" s="476"/>
      <c r="H366" s="483" t="str">
        <f t="shared" si="20"/>
        <v xml:space="preserve"> </v>
      </c>
      <c r="I366" s="471">
        <f t="shared" si="21"/>
        <v>1361</v>
      </c>
      <c r="J366" s="471">
        <f t="shared" si="22"/>
        <v>0</v>
      </c>
      <c r="K366">
        <f t="shared" si="23"/>
        <v>1</v>
      </c>
    </row>
    <row r="367" spans="1:11" x14ac:dyDescent="0.2">
      <c r="A367" s="472">
        <v>1362</v>
      </c>
      <c r="B367" s="475" t="s">
        <v>410</v>
      </c>
      <c r="C367" s="472"/>
      <c r="D367" s="472"/>
      <c r="E367" s="274"/>
      <c r="F367" s="274"/>
      <c r="G367" s="476"/>
      <c r="H367" s="483" t="str">
        <f t="shared" si="20"/>
        <v xml:space="preserve">Did Not Shoot </v>
      </c>
      <c r="I367" s="471">
        <f t="shared" si="21"/>
        <v>1362</v>
      </c>
      <c r="J367" s="471">
        <f t="shared" si="22"/>
        <v>0</v>
      </c>
      <c r="K367">
        <f t="shared" si="23"/>
        <v>14</v>
      </c>
    </row>
    <row r="368" spans="1:11" x14ac:dyDescent="0.2">
      <c r="A368" s="472">
        <v>1363</v>
      </c>
      <c r="B368" s="472"/>
      <c r="C368" s="472"/>
      <c r="D368" s="472"/>
      <c r="E368" s="274"/>
      <c r="F368" s="274"/>
      <c r="G368" s="476"/>
      <c r="H368" s="483" t="str">
        <f t="shared" si="20"/>
        <v xml:space="preserve"> </v>
      </c>
      <c r="I368" s="471">
        <f t="shared" si="21"/>
        <v>1363</v>
      </c>
      <c r="J368" s="471">
        <f t="shared" si="22"/>
        <v>0</v>
      </c>
      <c r="K368">
        <f t="shared" si="23"/>
        <v>1</v>
      </c>
    </row>
    <row r="369" spans="1:11" x14ac:dyDescent="0.2">
      <c r="A369" s="472">
        <v>1364</v>
      </c>
      <c r="B369" s="472"/>
      <c r="C369" s="472"/>
      <c r="D369" s="472"/>
      <c r="E369" s="274"/>
      <c r="F369" s="274"/>
      <c r="G369" s="476"/>
      <c r="H369" s="483" t="str">
        <f t="shared" si="20"/>
        <v xml:space="preserve"> </v>
      </c>
      <c r="I369" s="471">
        <f t="shared" si="21"/>
        <v>1364</v>
      </c>
      <c r="J369" s="471">
        <f t="shared" si="22"/>
        <v>0</v>
      </c>
      <c r="K369">
        <f t="shared" si="23"/>
        <v>1</v>
      </c>
    </row>
    <row r="370" spans="1:11" x14ac:dyDescent="0.2">
      <c r="A370" s="472">
        <v>1365</v>
      </c>
      <c r="B370" s="472"/>
      <c r="C370" s="472"/>
      <c r="D370" s="472"/>
      <c r="E370" s="274"/>
      <c r="F370" s="274"/>
      <c r="G370" s="476"/>
      <c r="H370" s="483" t="str">
        <f t="shared" si="20"/>
        <v xml:space="preserve"> </v>
      </c>
      <c r="I370" s="471">
        <f t="shared" si="21"/>
        <v>1365</v>
      </c>
      <c r="J370" s="471">
        <f t="shared" si="22"/>
        <v>0</v>
      </c>
      <c r="K370">
        <f t="shared" si="23"/>
        <v>1</v>
      </c>
    </row>
    <row r="371" spans="1:11" x14ac:dyDescent="0.2">
      <c r="A371" s="472">
        <v>1366</v>
      </c>
      <c r="B371" s="475" t="s">
        <v>410</v>
      </c>
      <c r="C371" s="472"/>
      <c r="D371" s="472"/>
      <c r="E371" s="274"/>
      <c r="F371" s="274"/>
      <c r="G371" s="476"/>
      <c r="H371" s="483" t="str">
        <f t="shared" si="20"/>
        <v xml:space="preserve">Did Not Shoot </v>
      </c>
      <c r="I371" s="471">
        <f t="shared" si="21"/>
        <v>1366</v>
      </c>
      <c r="J371" s="471">
        <f t="shared" si="22"/>
        <v>0</v>
      </c>
      <c r="K371">
        <f t="shared" si="23"/>
        <v>14</v>
      </c>
    </row>
    <row r="372" spans="1:11" x14ac:dyDescent="0.2">
      <c r="A372" s="472">
        <v>1367</v>
      </c>
      <c r="B372" s="472"/>
      <c r="C372" s="472"/>
      <c r="D372" s="472"/>
      <c r="E372" s="274"/>
      <c r="F372" s="274"/>
      <c r="G372" s="476"/>
      <c r="H372" s="483" t="str">
        <f t="shared" si="20"/>
        <v xml:space="preserve"> </v>
      </c>
      <c r="I372" s="471">
        <f t="shared" si="21"/>
        <v>1367</v>
      </c>
      <c r="J372" s="471">
        <f t="shared" si="22"/>
        <v>0</v>
      </c>
      <c r="K372">
        <f t="shared" si="23"/>
        <v>1</v>
      </c>
    </row>
    <row r="373" spans="1:11" x14ac:dyDescent="0.2">
      <c r="A373" s="472">
        <v>1368</v>
      </c>
      <c r="B373" s="472"/>
      <c r="C373" s="472"/>
      <c r="D373" s="472"/>
      <c r="E373" s="274"/>
      <c r="F373" s="274"/>
      <c r="G373" s="476"/>
      <c r="H373" s="483" t="str">
        <f t="shared" si="20"/>
        <v xml:space="preserve"> </v>
      </c>
      <c r="I373" s="471">
        <f t="shared" si="21"/>
        <v>1368</v>
      </c>
      <c r="J373" s="471">
        <f t="shared" si="22"/>
        <v>0</v>
      </c>
      <c r="K373">
        <f t="shared" si="23"/>
        <v>1</v>
      </c>
    </row>
    <row r="374" spans="1:11" x14ac:dyDescent="0.2">
      <c r="A374" s="472">
        <v>1369</v>
      </c>
      <c r="B374" s="472"/>
      <c r="C374" s="472"/>
      <c r="D374" s="472"/>
      <c r="E374" s="274"/>
      <c r="F374" s="274"/>
      <c r="G374" s="476"/>
      <c r="H374" s="483" t="str">
        <f t="shared" si="20"/>
        <v xml:space="preserve"> </v>
      </c>
      <c r="I374" s="471">
        <f t="shared" si="21"/>
        <v>1369</v>
      </c>
      <c r="J374" s="471">
        <f t="shared" si="22"/>
        <v>0</v>
      </c>
      <c r="K374">
        <f t="shared" si="23"/>
        <v>1</v>
      </c>
    </row>
    <row r="375" spans="1:11" x14ac:dyDescent="0.2">
      <c r="A375" s="472">
        <v>1370</v>
      </c>
      <c r="B375" s="472"/>
      <c r="C375" s="472"/>
      <c r="D375" s="472"/>
      <c r="E375" s="274"/>
      <c r="F375" s="274"/>
      <c r="G375" s="476"/>
      <c r="H375" s="483" t="str">
        <f t="shared" si="20"/>
        <v xml:space="preserve"> </v>
      </c>
      <c r="I375" s="471">
        <f t="shared" si="21"/>
        <v>1370</v>
      </c>
      <c r="J375" s="471">
        <f t="shared" si="22"/>
        <v>0</v>
      </c>
      <c r="K375">
        <f t="shared" si="23"/>
        <v>1</v>
      </c>
    </row>
    <row r="376" spans="1:11" x14ac:dyDescent="0.2">
      <c r="A376" s="472">
        <v>1371</v>
      </c>
      <c r="B376" s="472"/>
      <c r="C376" s="472"/>
      <c r="D376" s="472"/>
      <c r="E376" s="274"/>
      <c r="F376" s="274"/>
      <c r="G376" s="476"/>
      <c r="H376" s="483" t="str">
        <f t="shared" si="20"/>
        <v xml:space="preserve"> </v>
      </c>
      <c r="I376" s="471">
        <f t="shared" si="21"/>
        <v>1371</v>
      </c>
      <c r="J376" s="471">
        <f t="shared" si="22"/>
        <v>0</v>
      </c>
      <c r="K376">
        <f t="shared" si="23"/>
        <v>1</v>
      </c>
    </row>
    <row r="377" spans="1:11" x14ac:dyDescent="0.2">
      <c r="A377" s="472">
        <v>1372</v>
      </c>
      <c r="B377" s="472"/>
      <c r="C377" s="472"/>
      <c r="D377" s="472"/>
      <c r="E377" s="274"/>
      <c r="F377" s="274"/>
      <c r="G377" s="476"/>
      <c r="H377" s="483" t="str">
        <f t="shared" si="20"/>
        <v xml:space="preserve"> </v>
      </c>
      <c r="I377" s="471">
        <f t="shared" si="21"/>
        <v>1372</v>
      </c>
      <c r="J377" s="471">
        <f t="shared" si="22"/>
        <v>0</v>
      </c>
      <c r="K377">
        <f t="shared" si="23"/>
        <v>1</v>
      </c>
    </row>
    <row r="378" spans="1:11" x14ac:dyDescent="0.2">
      <c r="A378" s="472">
        <v>1373</v>
      </c>
      <c r="B378" s="472"/>
      <c r="C378" s="472"/>
      <c r="D378" s="472"/>
      <c r="E378" s="274"/>
      <c r="F378" s="274"/>
      <c r="G378" s="476"/>
      <c r="H378" s="483" t="str">
        <f t="shared" si="20"/>
        <v xml:space="preserve"> </v>
      </c>
      <c r="I378" s="471">
        <f t="shared" si="21"/>
        <v>1373</v>
      </c>
      <c r="J378" s="471">
        <f t="shared" si="22"/>
        <v>0</v>
      </c>
      <c r="K378">
        <f t="shared" si="23"/>
        <v>1</v>
      </c>
    </row>
    <row r="379" spans="1:11" x14ac:dyDescent="0.2">
      <c r="A379" s="472">
        <v>1374</v>
      </c>
      <c r="B379" s="472"/>
      <c r="C379" s="472"/>
      <c r="D379" s="472"/>
      <c r="E379" s="274"/>
      <c r="F379" s="274"/>
      <c r="G379" s="476"/>
      <c r="H379" s="483" t="str">
        <f t="shared" si="20"/>
        <v xml:space="preserve"> </v>
      </c>
      <c r="I379" s="471">
        <f t="shared" si="21"/>
        <v>1374</v>
      </c>
      <c r="J379" s="471">
        <f t="shared" si="22"/>
        <v>0</v>
      </c>
      <c r="K379">
        <f t="shared" si="23"/>
        <v>1</v>
      </c>
    </row>
    <row r="380" spans="1:11" x14ac:dyDescent="0.2">
      <c r="A380" s="472">
        <v>1375</v>
      </c>
      <c r="B380" s="472"/>
      <c r="C380" s="472"/>
      <c r="D380" s="472"/>
      <c r="E380" s="274"/>
      <c r="F380" s="274"/>
      <c r="G380" s="476"/>
      <c r="H380" s="483" t="str">
        <f t="shared" si="20"/>
        <v xml:space="preserve"> </v>
      </c>
      <c r="I380" s="471">
        <f t="shared" si="21"/>
        <v>1375</v>
      </c>
      <c r="J380" s="471">
        <f t="shared" si="22"/>
        <v>0</v>
      </c>
      <c r="K380">
        <f t="shared" si="23"/>
        <v>1</v>
      </c>
    </row>
    <row r="381" spans="1:11" x14ac:dyDescent="0.2">
      <c r="A381" s="472">
        <v>1376</v>
      </c>
      <c r="B381" s="472"/>
      <c r="C381" s="472"/>
      <c r="D381" s="472"/>
      <c r="E381" s="274"/>
      <c r="F381" s="274"/>
      <c r="G381" s="476"/>
      <c r="H381" s="483" t="str">
        <f t="shared" si="20"/>
        <v xml:space="preserve"> </v>
      </c>
      <c r="I381" s="471">
        <f t="shared" si="21"/>
        <v>1376</v>
      </c>
      <c r="J381" s="471">
        <f t="shared" si="22"/>
        <v>0</v>
      </c>
      <c r="K381">
        <f t="shared" si="23"/>
        <v>1</v>
      </c>
    </row>
    <row r="382" spans="1:11" x14ac:dyDescent="0.2">
      <c r="A382" s="472">
        <v>1377</v>
      </c>
      <c r="B382" s="475" t="s">
        <v>410</v>
      </c>
      <c r="C382" s="472"/>
      <c r="D382" s="472"/>
      <c r="E382" s="274"/>
      <c r="F382" s="274"/>
      <c r="G382" s="476"/>
      <c r="H382" s="483" t="str">
        <f t="shared" si="20"/>
        <v xml:space="preserve">Did Not Shoot </v>
      </c>
      <c r="I382" s="471">
        <f t="shared" si="21"/>
        <v>1377</v>
      </c>
      <c r="J382" s="471">
        <f t="shared" si="22"/>
        <v>0</v>
      </c>
      <c r="K382">
        <f t="shared" si="23"/>
        <v>14</v>
      </c>
    </row>
    <row r="383" spans="1:11" x14ac:dyDescent="0.2">
      <c r="A383" s="472">
        <v>1378</v>
      </c>
      <c r="B383" s="472"/>
      <c r="C383" s="472"/>
      <c r="D383" s="472"/>
      <c r="E383" s="274"/>
      <c r="F383" s="274"/>
      <c r="G383" s="476"/>
      <c r="H383" s="483" t="str">
        <f t="shared" si="20"/>
        <v xml:space="preserve"> </v>
      </c>
      <c r="I383" s="471">
        <f t="shared" si="21"/>
        <v>1378</v>
      </c>
      <c r="J383" s="471">
        <f t="shared" si="22"/>
        <v>0</v>
      </c>
      <c r="K383">
        <f t="shared" si="23"/>
        <v>1</v>
      </c>
    </row>
    <row r="384" spans="1:11" x14ac:dyDescent="0.2">
      <c r="A384" s="472">
        <v>1379</v>
      </c>
      <c r="B384" s="472"/>
      <c r="C384" s="472"/>
      <c r="D384" s="472"/>
      <c r="E384" s="274"/>
      <c r="F384" s="274"/>
      <c r="G384" s="476"/>
      <c r="H384" s="483" t="str">
        <f t="shared" si="20"/>
        <v xml:space="preserve"> </v>
      </c>
      <c r="I384" s="471">
        <f t="shared" si="21"/>
        <v>1379</v>
      </c>
      <c r="J384" s="471">
        <f t="shared" si="22"/>
        <v>0</v>
      </c>
      <c r="K384">
        <f t="shared" si="23"/>
        <v>1</v>
      </c>
    </row>
    <row r="385" spans="1:11" x14ac:dyDescent="0.2">
      <c r="A385" s="472">
        <v>1380</v>
      </c>
      <c r="B385" s="472"/>
      <c r="C385" s="472"/>
      <c r="D385" s="472"/>
      <c r="E385" s="274"/>
      <c r="F385" s="274"/>
      <c r="G385" s="476"/>
      <c r="H385" s="483" t="str">
        <f t="shared" si="20"/>
        <v xml:space="preserve"> </v>
      </c>
      <c r="I385" s="471">
        <f t="shared" si="21"/>
        <v>1380</v>
      </c>
      <c r="J385" s="471">
        <f t="shared" si="22"/>
        <v>0</v>
      </c>
      <c r="K385">
        <f t="shared" si="23"/>
        <v>1</v>
      </c>
    </row>
    <row r="386" spans="1:11" x14ac:dyDescent="0.2">
      <c r="A386" s="472">
        <v>1381</v>
      </c>
      <c r="B386" s="475" t="s">
        <v>410</v>
      </c>
      <c r="C386" s="472"/>
      <c r="D386" s="472"/>
      <c r="E386" s="274"/>
      <c r="F386" s="274"/>
      <c r="G386" s="476"/>
      <c r="H386" s="483" t="str">
        <f t="shared" si="20"/>
        <v xml:space="preserve">Did Not Shoot </v>
      </c>
      <c r="I386" s="471">
        <f t="shared" si="21"/>
        <v>1381</v>
      </c>
      <c r="J386" s="471">
        <f t="shared" si="22"/>
        <v>0</v>
      </c>
      <c r="K386">
        <f t="shared" si="23"/>
        <v>14</v>
      </c>
    </row>
    <row r="387" spans="1:11" x14ac:dyDescent="0.2">
      <c r="A387" s="472">
        <v>1382</v>
      </c>
      <c r="B387" s="472"/>
      <c r="C387" s="472"/>
      <c r="D387" s="472"/>
      <c r="E387" s="274"/>
      <c r="F387" s="274"/>
      <c r="G387" s="476"/>
      <c r="H387" s="483" t="str">
        <f t="shared" si="20"/>
        <v xml:space="preserve"> </v>
      </c>
      <c r="I387" s="471">
        <f t="shared" si="21"/>
        <v>1382</v>
      </c>
      <c r="J387" s="471">
        <f t="shared" si="22"/>
        <v>0</v>
      </c>
      <c r="K387">
        <f t="shared" si="23"/>
        <v>1</v>
      </c>
    </row>
    <row r="388" spans="1:11" x14ac:dyDescent="0.2">
      <c r="A388" s="472">
        <v>1383</v>
      </c>
      <c r="B388" s="472"/>
      <c r="C388" s="472"/>
      <c r="D388" s="472"/>
      <c r="E388" s="274"/>
      <c r="F388" s="274"/>
      <c r="G388" s="476"/>
      <c r="H388" s="483" t="str">
        <f t="shared" si="20"/>
        <v xml:space="preserve"> </v>
      </c>
      <c r="I388" s="471">
        <f t="shared" si="21"/>
        <v>1383</v>
      </c>
      <c r="J388" s="471">
        <f t="shared" si="22"/>
        <v>0</v>
      </c>
      <c r="K388">
        <f t="shared" si="23"/>
        <v>1</v>
      </c>
    </row>
    <row r="389" spans="1:11" x14ac:dyDescent="0.2">
      <c r="A389" s="472">
        <v>1384</v>
      </c>
      <c r="B389" s="475" t="s">
        <v>410</v>
      </c>
      <c r="C389" s="472"/>
      <c r="D389" s="472"/>
      <c r="E389" s="274"/>
      <c r="F389" s="274"/>
      <c r="G389" s="476"/>
      <c r="H389" s="483" t="str">
        <f t="shared" si="20"/>
        <v xml:space="preserve">Did Not Shoot </v>
      </c>
      <c r="I389" s="471">
        <f t="shared" si="21"/>
        <v>1384</v>
      </c>
      <c r="J389" s="471">
        <f t="shared" si="22"/>
        <v>0</v>
      </c>
      <c r="K389">
        <f t="shared" si="23"/>
        <v>14</v>
      </c>
    </row>
    <row r="390" spans="1:11" x14ac:dyDescent="0.2">
      <c r="A390" s="472">
        <v>1385</v>
      </c>
      <c r="B390" s="472"/>
      <c r="C390" s="472"/>
      <c r="D390" s="472"/>
      <c r="E390" s="274"/>
      <c r="F390" s="274"/>
      <c r="G390" s="476"/>
      <c r="H390" s="483" t="str">
        <f t="shared" ref="H390:H453" si="24">CONCATENATE(B390," ",C390)</f>
        <v xml:space="preserve"> </v>
      </c>
      <c r="I390" s="471">
        <f t="shared" ref="I390:I453" si="25">A390</f>
        <v>1385</v>
      </c>
      <c r="J390" s="471">
        <f t="shared" ref="J390:J453" si="26">G390</f>
        <v>0</v>
      </c>
      <c r="K390">
        <f t="shared" ref="K390:K453" si="27">LEN(H390)</f>
        <v>1</v>
      </c>
    </row>
    <row r="391" spans="1:11" x14ac:dyDescent="0.2">
      <c r="A391" s="472">
        <v>1386</v>
      </c>
      <c r="B391" s="472"/>
      <c r="C391" s="472"/>
      <c r="D391" s="472"/>
      <c r="E391" s="274"/>
      <c r="F391" s="274"/>
      <c r="G391" s="476"/>
      <c r="H391" s="483" t="str">
        <f t="shared" si="24"/>
        <v xml:space="preserve"> </v>
      </c>
      <c r="I391" s="471">
        <f t="shared" si="25"/>
        <v>1386</v>
      </c>
      <c r="J391" s="471">
        <f t="shared" si="26"/>
        <v>0</v>
      </c>
      <c r="K391">
        <f t="shared" si="27"/>
        <v>1</v>
      </c>
    </row>
    <row r="392" spans="1:11" x14ac:dyDescent="0.2">
      <c r="A392" s="472">
        <v>1387</v>
      </c>
      <c r="B392" s="472"/>
      <c r="C392" s="472"/>
      <c r="D392" s="472"/>
      <c r="E392" s="274"/>
      <c r="F392" s="274"/>
      <c r="G392" s="476"/>
      <c r="H392" s="483" t="str">
        <f t="shared" si="24"/>
        <v xml:space="preserve"> </v>
      </c>
      <c r="I392" s="471">
        <f t="shared" si="25"/>
        <v>1387</v>
      </c>
      <c r="J392" s="471">
        <f t="shared" si="26"/>
        <v>0</v>
      </c>
      <c r="K392">
        <f t="shared" si="27"/>
        <v>1</v>
      </c>
    </row>
    <row r="393" spans="1:11" x14ac:dyDescent="0.2">
      <c r="A393" s="472">
        <v>1388</v>
      </c>
      <c r="B393" s="472"/>
      <c r="C393" s="472"/>
      <c r="D393" s="472"/>
      <c r="E393" s="274"/>
      <c r="F393" s="274"/>
      <c r="G393" s="476"/>
      <c r="H393" s="483" t="str">
        <f t="shared" si="24"/>
        <v xml:space="preserve"> </v>
      </c>
      <c r="I393" s="471">
        <f t="shared" si="25"/>
        <v>1388</v>
      </c>
      <c r="J393" s="471">
        <f t="shared" si="26"/>
        <v>0</v>
      </c>
      <c r="K393">
        <f t="shared" si="27"/>
        <v>1</v>
      </c>
    </row>
    <row r="394" spans="1:11" x14ac:dyDescent="0.2">
      <c r="A394" s="472">
        <v>1389</v>
      </c>
      <c r="B394" s="472"/>
      <c r="C394" s="472"/>
      <c r="D394" s="472"/>
      <c r="E394" s="274"/>
      <c r="F394" s="274"/>
      <c r="G394" s="476"/>
      <c r="H394" s="483" t="str">
        <f t="shared" si="24"/>
        <v xml:space="preserve"> </v>
      </c>
      <c r="I394" s="471">
        <f t="shared" si="25"/>
        <v>1389</v>
      </c>
      <c r="J394" s="471">
        <f t="shared" si="26"/>
        <v>0</v>
      </c>
      <c r="K394">
        <f t="shared" si="27"/>
        <v>1</v>
      </c>
    </row>
    <row r="395" spans="1:11" x14ac:dyDescent="0.2">
      <c r="A395" s="472">
        <v>1390</v>
      </c>
      <c r="B395" s="472"/>
      <c r="C395" s="472"/>
      <c r="D395" s="472"/>
      <c r="E395" s="274"/>
      <c r="F395" s="274"/>
      <c r="G395" s="476"/>
      <c r="H395" s="483" t="str">
        <f t="shared" si="24"/>
        <v xml:space="preserve"> </v>
      </c>
      <c r="I395" s="471">
        <f t="shared" si="25"/>
        <v>1390</v>
      </c>
      <c r="J395" s="471">
        <f t="shared" si="26"/>
        <v>0</v>
      </c>
      <c r="K395">
        <f t="shared" si="27"/>
        <v>1</v>
      </c>
    </row>
    <row r="396" spans="1:11" x14ac:dyDescent="0.2">
      <c r="A396" s="472">
        <v>1391</v>
      </c>
      <c r="B396" s="472"/>
      <c r="C396" s="472"/>
      <c r="D396" s="472"/>
      <c r="E396" s="274"/>
      <c r="F396" s="274"/>
      <c r="G396" s="476"/>
      <c r="H396" s="483" t="str">
        <f t="shared" si="24"/>
        <v xml:space="preserve"> </v>
      </c>
      <c r="I396" s="471">
        <f t="shared" si="25"/>
        <v>1391</v>
      </c>
      <c r="J396" s="471">
        <f t="shared" si="26"/>
        <v>0</v>
      </c>
      <c r="K396">
        <f t="shared" si="27"/>
        <v>1</v>
      </c>
    </row>
    <row r="397" spans="1:11" x14ac:dyDescent="0.2">
      <c r="A397" s="472">
        <v>1392</v>
      </c>
      <c r="B397" s="472"/>
      <c r="C397" s="472"/>
      <c r="D397" s="472"/>
      <c r="E397" s="274"/>
      <c r="F397" s="274"/>
      <c r="G397" s="476"/>
      <c r="H397" s="483" t="str">
        <f t="shared" si="24"/>
        <v xml:space="preserve"> </v>
      </c>
      <c r="I397" s="471">
        <f t="shared" si="25"/>
        <v>1392</v>
      </c>
      <c r="J397" s="471">
        <f t="shared" si="26"/>
        <v>0</v>
      </c>
      <c r="K397">
        <f t="shared" si="27"/>
        <v>1</v>
      </c>
    </row>
    <row r="398" spans="1:11" x14ac:dyDescent="0.2">
      <c r="A398" s="472">
        <v>1393</v>
      </c>
      <c r="B398" s="472"/>
      <c r="C398" s="472"/>
      <c r="D398" s="472"/>
      <c r="E398" s="274"/>
      <c r="F398" s="274"/>
      <c r="G398" s="476"/>
      <c r="H398" s="483" t="str">
        <f t="shared" si="24"/>
        <v xml:space="preserve"> </v>
      </c>
      <c r="I398" s="471">
        <f t="shared" si="25"/>
        <v>1393</v>
      </c>
      <c r="J398" s="471">
        <f t="shared" si="26"/>
        <v>0</v>
      </c>
      <c r="K398">
        <f t="shared" si="27"/>
        <v>1</v>
      </c>
    </row>
    <row r="399" spans="1:11" x14ac:dyDescent="0.2">
      <c r="A399" s="472">
        <v>1394</v>
      </c>
      <c r="B399" s="472"/>
      <c r="C399" s="472"/>
      <c r="D399" s="472"/>
      <c r="E399" s="274"/>
      <c r="F399" s="274"/>
      <c r="G399" s="476"/>
      <c r="H399" s="483" t="str">
        <f t="shared" si="24"/>
        <v xml:space="preserve"> </v>
      </c>
      <c r="I399" s="471">
        <f t="shared" si="25"/>
        <v>1394</v>
      </c>
      <c r="J399" s="471">
        <f t="shared" si="26"/>
        <v>0</v>
      </c>
      <c r="K399">
        <f t="shared" si="27"/>
        <v>1</v>
      </c>
    </row>
    <row r="400" spans="1:11" x14ac:dyDescent="0.2">
      <c r="A400" s="472">
        <v>1395</v>
      </c>
      <c r="B400" s="472"/>
      <c r="C400" s="472"/>
      <c r="D400" s="472"/>
      <c r="E400" s="274"/>
      <c r="F400" s="274"/>
      <c r="G400" s="476"/>
      <c r="H400" s="483" t="str">
        <f t="shared" si="24"/>
        <v xml:space="preserve"> </v>
      </c>
      <c r="I400" s="471">
        <f t="shared" si="25"/>
        <v>1395</v>
      </c>
      <c r="J400" s="471">
        <f t="shared" si="26"/>
        <v>0</v>
      </c>
      <c r="K400">
        <f t="shared" si="27"/>
        <v>1</v>
      </c>
    </row>
    <row r="401" spans="1:11" x14ac:dyDescent="0.2">
      <c r="A401" s="472">
        <v>1396</v>
      </c>
      <c r="B401" s="472"/>
      <c r="C401" s="472"/>
      <c r="D401" s="472"/>
      <c r="E401" s="274"/>
      <c r="F401" s="274"/>
      <c r="G401" s="476"/>
      <c r="H401" s="483" t="str">
        <f t="shared" si="24"/>
        <v xml:space="preserve"> </v>
      </c>
      <c r="I401" s="471">
        <f t="shared" si="25"/>
        <v>1396</v>
      </c>
      <c r="J401" s="471">
        <f t="shared" si="26"/>
        <v>0</v>
      </c>
      <c r="K401">
        <f t="shared" si="27"/>
        <v>1</v>
      </c>
    </row>
    <row r="402" spans="1:11" x14ac:dyDescent="0.2">
      <c r="A402" s="472">
        <v>1397</v>
      </c>
      <c r="B402" s="472"/>
      <c r="C402" s="472"/>
      <c r="D402" s="472"/>
      <c r="E402" s="274"/>
      <c r="F402" s="274"/>
      <c r="G402" s="476"/>
      <c r="H402" s="483" t="str">
        <f t="shared" si="24"/>
        <v xml:space="preserve"> </v>
      </c>
      <c r="I402" s="471">
        <f t="shared" si="25"/>
        <v>1397</v>
      </c>
      <c r="J402" s="471">
        <f t="shared" si="26"/>
        <v>0</v>
      </c>
      <c r="K402">
        <f t="shared" si="27"/>
        <v>1</v>
      </c>
    </row>
    <row r="403" spans="1:11" x14ac:dyDescent="0.2">
      <c r="A403" s="472">
        <v>1398</v>
      </c>
      <c r="B403" s="472"/>
      <c r="C403" s="472"/>
      <c r="D403" s="472"/>
      <c r="E403" s="274"/>
      <c r="F403" s="274"/>
      <c r="G403" s="476"/>
      <c r="H403" s="483" t="str">
        <f t="shared" si="24"/>
        <v xml:space="preserve"> </v>
      </c>
      <c r="I403" s="471">
        <f t="shared" si="25"/>
        <v>1398</v>
      </c>
      <c r="J403" s="471">
        <f t="shared" si="26"/>
        <v>0</v>
      </c>
      <c r="K403">
        <f t="shared" si="27"/>
        <v>1</v>
      </c>
    </row>
    <row r="404" spans="1:11" x14ac:dyDescent="0.2">
      <c r="A404" s="472">
        <v>1399</v>
      </c>
      <c r="B404" s="472"/>
      <c r="C404" s="472"/>
      <c r="D404" s="472"/>
      <c r="E404" s="274"/>
      <c r="F404" s="274"/>
      <c r="G404" s="476"/>
      <c r="H404" s="483" t="str">
        <f t="shared" si="24"/>
        <v xml:space="preserve"> </v>
      </c>
      <c r="I404" s="471">
        <f t="shared" si="25"/>
        <v>1399</v>
      </c>
      <c r="J404" s="471">
        <f t="shared" si="26"/>
        <v>0</v>
      </c>
      <c r="K404">
        <f t="shared" si="27"/>
        <v>1</v>
      </c>
    </row>
    <row r="405" spans="1:11" x14ac:dyDescent="0.2">
      <c r="A405" s="472">
        <v>1400</v>
      </c>
      <c r="B405" s="472"/>
      <c r="C405" s="472"/>
      <c r="D405" s="472"/>
      <c r="E405" s="274"/>
      <c r="F405" s="274"/>
      <c r="G405" s="476"/>
      <c r="H405" s="483" t="str">
        <f t="shared" si="24"/>
        <v xml:space="preserve"> </v>
      </c>
      <c r="I405" s="471">
        <f t="shared" si="25"/>
        <v>1400</v>
      </c>
      <c r="J405" s="471">
        <f t="shared" si="26"/>
        <v>0</v>
      </c>
      <c r="K405">
        <f t="shared" si="27"/>
        <v>1</v>
      </c>
    </row>
    <row r="406" spans="1:11" x14ac:dyDescent="0.2">
      <c r="A406" s="472">
        <v>1401</v>
      </c>
      <c r="B406" s="472"/>
      <c r="C406" s="472"/>
      <c r="D406" s="472"/>
      <c r="E406" s="274"/>
      <c r="F406" s="274"/>
      <c r="G406" s="476"/>
      <c r="H406" s="483" t="str">
        <f t="shared" si="24"/>
        <v xml:space="preserve"> </v>
      </c>
      <c r="I406" s="471">
        <f t="shared" si="25"/>
        <v>1401</v>
      </c>
      <c r="J406" s="471">
        <f t="shared" si="26"/>
        <v>0</v>
      </c>
      <c r="K406">
        <f t="shared" si="27"/>
        <v>1</v>
      </c>
    </row>
    <row r="407" spans="1:11" x14ac:dyDescent="0.2">
      <c r="A407" s="472">
        <v>1402</v>
      </c>
      <c r="B407" s="472"/>
      <c r="C407" s="472"/>
      <c r="D407" s="472"/>
      <c r="E407" s="274"/>
      <c r="F407" s="274"/>
      <c r="G407" s="476"/>
      <c r="H407" s="483" t="str">
        <f t="shared" si="24"/>
        <v xml:space="preserve"> </v>
      </c>
      <c r="I407" s="471">
        <f t="shared" si="25"/>
        <v>1402</v>
      </c>
      <c r="J407" s="471">
        <f t="shared" si="26"/>
        <v>0</v>
      </c>
      <c r="K407">
        <f t="shared" si="27"/>
        <v>1</v>
      </c>
    </row>
    <row r="408" spans="1:11" x14ac:dyDescent="0.2">
      <c r="A408" s="472">
        <v>1403</v>
      </c>
      <c r="B408" s="472"/>
      <c r="C408" s="472"/>
      <c r="D408" s="472"/>
      <c r="E408" s="274"/>
      <c r="F408" s="274"/>
      <c r="G408" s="476"/>
      <c r="H408" s="483" t="str">
        <f t="shared" si="24"/>
        <v xml:space="preserve"> </v>
      </c>
      <c r="I408" s="471">
        <f t="shared" si="25"/>
        <v>1403</v>
      </c>
      <c r="J408" s="471">
        <f t="shared" si="26"/>
        <v>0</v>
      </c>
      <c r="K408">
        <f t="shared" si="27"/>
        <v>1</v>
      </c>
    </row>
    <row r="409" spans="1:11" x14ac:dyDescent="0.2">
      <c r="A409" s="472">
        <v>1404</v>
      </c>
      <c r="B409" s="472"/>
      <c r="C409" s="472"/>
      <c r="D409" s="472"/>
      <c r="E409" s="274"/>
      <c r="F409" s="274"/>
      <c r="G409" s="476"/>
      <c r="H409" s="483" t="str">
        <f t="shared" si="24"/>
        <v xml:space="preserve"> </v>
      </c>
      <c r="I409" s="471">
        <f t="shared" si="25"/>
        <v>1404</v>
      </c>
      <c r="J409" s="471">
        <f t="shared" si="26"/>
        <v>0</v>
      </c>
      <c r="K409">
        <f t="shared" si="27"/>
        <v>1</v>
      </c>
    </row>
    <row r="410" spans="1:11" x14ac:dyDescent="0.2">
      <c r="A410" s="472">
        <v>1405</v>
      </c>
      <c r="B410" s="472"/>
      <c r="C410" s="472"/>
      <c r="D410" s="472"/>
      <c r="E410" s="274"/>
      <c r="F410" s="274"/>
      <c r="G410" s="476"/>
      <c r="H410" s="483" t="str">
        <f t="shared" si="24"/>
        <v xml:space="preserve"> </v>
      </c>
      <c r="I410" s="471">
        <f t="shared" si="25"/>
        <v>1405</v>
      </c>
      <c r="J410" s="471">
        <f t="shared" si="26"/>
        <v>0</v>
      </c>
      <c r="K410">
        <f t="shared" si="27"/>
        <v>1</v>
      </c>
    </row>
    <row r="411" spans="1:11" x14ac:dyDescent="0.2">
      <c r="A411" s="472">
        <v>1406</v>
      </c>
      <c r="B411" s="475" t="s">
        <v>410</v>
      </c>
      <c r="C411" s="472"/>
      <c r="D411" s="472"/>
      <c r="E411" s="274"/>
      <c r="F411" s="274"/>
      <c r="G411" s="476"/>
      <c r="H411" s="483" t="str">
        <f t="shared" si="24"/>
        <v xml:space="preserve">Did Not Shoot </v>
      </c>
      <c r="I411" s="471">
        <f t="shared" si="25"/>
        <v>1406</v>
      </c>
      <c r="J411" s="471">
        <f t="shared" si="26"/>
        <v>0</v>
      </c>
      <c r="K411">
        <f t="shared" si="27"/>
        <v>14</v>
      </c>
    </row>
    <row r="412" spans="1:11" x14ac:dyDescent="0.2">
      <c r="A412" s="472">
        <v>1407</v>
      </c>
      <c r="B412" s="472"/>
      <c r="C412" s="472"/>
      <c r="D412" s="472"/>
      <c r="E412" s="274"/>
      <c r="F412" s="274"/>
      <c r="G412" s="476"/>
      <c r="H412" s="483" t="str">
        <f t="shared" si="24"/>
        <v xml:space="preserve"> </v>
      </c>
      <c r="I412" s="471">
        <f t="shared" si="25"/>
        <v>1407</v>
      </c>
      <c r="J412" s="471">
        <f t="shared" si="26"/>
        <v>0</v>
      </c>
      <c r="K412">
        <f t="shared" si="27"/>
        <v>1</v>
      </c>
    </row>
    <row r="413" spans="1:11" x14ac:dyDescent="0.2">
      <c r="A413" s="472">
        <v>1408</v>
      </c>
      <c r="B413" s="472"/>
      <c r="C413" s="472"/>
      <c r="D413" s="472"/>
      <c r="E413" s="274"/>
      <c r="F413" s="274"/>
      <c r="G413" s="476"/>
      <c r="H413" s="483" t="str">
        <f t="shared" si="24"/>
        <v xml:space="preserve"> </v>
      </c>
      <c r="I413" s="471">
        <f t="shared" si="25"/>
        <v>1408</v>
      </c>
      <c r="J413" s="471">
        <f t="shared" si="26"/>
        <v>0</v>
      </c>
      <c r="K413">
        <f t="shared" si="27"/>
        <v>1</v>
      </c>
    </row>
    <row r="414" spans="1:11" x14ac:dyDescent="0.2">
      <c r="A414" s="472">
        <v>1409</v>
      </c>
      <c r="B414" s="472"/>
      <c r="C414" s="472"/>
      <c r="D414" s="472"/>
      <c r="E414" s="274"/>
      <c r="F414" s="274"/>
      <c r="G414" s="476"/>
      <c r="H414" s="483" t="str">
        <f t="shared" si="24"/>
        <v xml:space="preserve"> </v>
      </c>
      <c r="I414" s="471">
        <f t="shared" si="25"/>
        <v>1409</v>
      </c>
      <c r="J414" s="471">
        <f t="shared" si="26"/>
        <v>0</v>
      </c>
      <c r="K414">
        <f t="shared" si="27"/>
        <v>1</v>
      </c>
    </row>
    <row r="415" spans="1:11" x14ac:dyDescent="0.2">
      <c r="A415" s="472">
        <v>1410</v>
      </c>
      <c r="B415" s="472"/>
      <c r="C415" s="472"/>
      <c r="D415" s="472"/>
      <c r="E415" s="274"/>
      <c r="F415" s="274"/>
      <c r="G415" s="476"/>
      <c r="H415" s="483" t="str">
        <f t="shared" si="24"/>
        <v xml:space="preserve"> </v>
      </c>
      <c r="I415" s="471">
        <f t="shared" si="25"/>
        <v>1410</v>
      </c>
      <c r="J415" s="471">
        <f t="shared" si="26"/>
        <v>0</v>
      </c>
      <c r="K415">
        <f t="shared" si="27"/>
        <v>1</v>
      </c>
    </row>
    <row r="416" spans="1:11" x14ac:dyDescent="0.2">
      <c r="A416" s="472">
        <v>1411</v>
      </c>
      <c r="B416" s="472"/>
      <c r="C416" s="472"/>
      <c r="D416" s="472"/>
      <c r="E416" s="274"/>
      <c r="F416" s="274"/>
      <c r="G416" s="476"/>
      <c r="H416" s="483" t="str">
        <f t="shared" si="24"/>
        <v xml:space="preserve"> </v>
      </c>
      <c r="I416" s="471">
        <f t="shared" si="25"/>
        <v>1411</v>
      </c>
      <c r="J416" s="471">
        <f t="shared" si="26"/>
        <v>0</v>
      </c>
      <c r="K416">
        <f t="shared" si="27"/>
        <v>1</v>
      </c>
    </row>
    <row r="417" spans="1:11" x14ac:dyDescent="0.2">
      <c r="A417" s="472">
        <v>1412</v>
      </c>
      <c r="B417" s="472"/>
      <c r="C417" s="472"/>
      <c r="D417" s="472"/>
      <c r="E417" s="274"/>
      <c r="F417" s="274"/>
      <c r="G417" s="476"/>
      <c r="H417" s="483" t="str">
        <f t="shared" si="24"/>
        <v xml:space="preserve"> </v>
      </c>
      <c r="I417" s="471">
        <f t="shared" si="25"/>
        <v>1412</v>
      </c>
      <c r="J417" s="471">
        <f t="shared" si="26"/>
        <v>0</v>
      </c>
      <c r="K417">
        <f t="shared" si="27"/>
        <v>1</v>
      </c>
    </row>
    <row r="418" spans="1:11" x14ac:dyDescent="0.2">
      <c r="A418" s="472">
        <v>1413</v>
      </c>
      <c r="B418" s="472"/>
      <c r="C418" s="472"/>
      <c r="D418" s="472"/>
      <c r="E418" s="274"/>
      <c r="F418" s="274"/>
      <c r="G418" s="476"/>
      <c r="H418" s="483" t="str">
        <f t="shared" si="24"/>
        <v xml:space="preserve"> </v>
      </c>
      <c r="I418" s="471">
        <f t="shared" si="25"/>
        <v>1413</v>
      </c>
      <c r="J418" s="471">
        <f t="shared" si="26"/>
        <v>0</v>
      </c>
      <c r="K418">
        <f t="shared" si="27"/>
        <v>1</v>
      </c>
    </row>
    <row r="419" spans="1:11" x14ac:dyDescent="0.2">
      <c r="A419" s="472">
        <v>1414</v>
      </c>
      <c r="B419" s="475" t="s">
        <v>410</v>
      </c>
      <c r="C419" s="472"/>
      <c r="D419" s="472"/>
      <c r="E419" s="274"/>
      <c r="F419" s="274"/>
      <c r="G419" s="476"/>
      <c r="H419" s="483" t="str">
        <f t="shared" si="24"/>
        <v xml:space="preserve">Did Not Shoot </v>
      </c>
      <c r="I419" s="471">
        <f t="shared" si="25"/>
        <v>1414</v>
      </c>
      <c r="J419" s="471">
        <f t="shared" si="26"/>
        <v>0</v>
      </c>
      <c r="K419">
        <f t="shared" si="27"/>
        <v>14</v>
      </c>
    </row>
    <row r="420" spans="1:11" x14ac:dyDescent="0.2">
      <c r="A420" s="472">
        <v>1415</v>
      </c>
      <c r="B420" s="472"/>
      <c r="C420" s="472"/>
      <c r="D420" s="472"/>
      <c r="E420" s="274"/>
      <c r="F420" s="274"/>
      <c r="G420" s="476"/>
      <c r="H420" s="483" t="str">
        <f t="shared" si="24"/>
        <v xml:space="preserve"> </v>
      </c>
      <c r="I420" s="471">
        <f t="shared" si="25"/>
        <v>1415</v>
      </c>
      <c r="J420" s="471">
        <f t="shared" si="26"/>
        <v>0</v>
      </c>
      <c r="K420">
        <f t="shared" si="27"/>
        <v>1</v>
      </c>
    </row>
    <row r="421" spans="1:11" x14ac:dyDescent="0.2">
      <c r="A421" s="472">
        <v>1416</v>
      </c>
      <c r="B421" s="472"/>
      <c r="C421" s="472"/>
      <c r="D421" s="472"/>
      <c r="E421" s="274"/>
      <c r="F421" s="274"/>
      <c r="G421" s="476"/>
      <c r="H421" s="483" t="str">
        <f t="shared" si="24"/>
        <v xml:space="preserve"> </v>
      </c>
      <c r="I421" s="471">
        <f t="shared" si="25"/>
        <v>1416</v>
      </c>
      <c r="J421" s="471">
        <f t="shared" si="26"/>
        <v>0</v>
      </c>
      <c r="K421">
        <f t="shared" si="27"/>
        <v>1</v>
      </c>
    </row>
    <row r="422" spans="1:11" x14ac:dyDescent="0.2">
      <c r="A422" s="472">
        <v>1417</v>
      </c>
      <c r="B422" s="472"/>
      <c r="C422" s="472"/>
      <c r="D422" s="472"/>
      <c r="E422" s="274"/>
      <c r="F422" s="274"/>
      <c r="G422" s="476"/>
      <c r="H422" s="483" t="str">
        <f t="shared" si="24"/>
        <v xml:space="preserve"> </v>
      </c>
      <c r="I422" s="471">
        <f t="shared" si="25"/>
        <v>1417</v>
      </c>
      <c r="J422" s="471">
        <f t="shared" si="26"/>
        <v>0</v>
      </c>
      <c r="K422">
        <f t="shared" si="27"/>
        <v>1</v>
      </c>
    </row>
    <row r="423" spans="1:11" x14ac:dyDescent="0.2">
      <c r="A423" s="472">
        <v>1418</v>
      </c>
      <c r="B423" s="472"/>
      <c r="C423" s="472"/>
      <c r="D423" s="472"/>
      <c r="E423" s="274"/>
      <c r="F423" s="274"/>
      <c r="G423" s="476"/>
      <c r="H423" s="483" t="str">
        <f t="shared" si="24"/>
        <v xml:space="preserve"> </v>
      </c>
      <c r="I423" s="471">
        <f t="shared" si="25"/>
        <v>1418</v>
      </c>
      <c r="J423" s="471">
        <f t="shared" si="26"/>
        <v>0</v>
      </c>
      <c r="K423">
        <f t="shared" si="27"/>
        <v>1</v>
      </c>
    </row>
    <row r="424" spans="1:11" x14ac:dyDescent="0.2">
      <c r="A424" s="472">
        <v>1419</v>
      </c>
      <c r="B424" s="472"/>
      <c r="C424" s="472"/>
      <c r="D424" s="472"/>
      <c r="E424" s="274"/>
      <c r="F424" s="274"/>
      <c r="G424" s="476"/>
      <c r="H424" s="483" t="str">
        <f t="shared" si="24"/>
        <v xml:space="preserve"> </v>
      </c>
      <c r="I424" s="471">
        <f t="shared" si="25"/>
        <v>1419</v>
      </c>
      <c r="J424" s="471">
        <f t="shared" si="26"/>
        <v>0</v>
      </c>
      <c r="K424">
        <f t="shared" si="27"/>
        <v>1</v>
      </c>
    </row>
    <row r="425" spans="1:11" x14ac:dyDescent="0.2">
      <c r="A425" s="472">
        <v>1420</v>
      </c>
      <c r="B425" s="472"/>
      <c r="C425" s="472"/>
      <c r="D425" s="472"/>
      <c r="E425" s="274"/>
      <c r="F425" s="274"/>
      <c r="G425" s="476"/>
      <c r="H425" s="483" t="str">
        <f t="shared" si="24"/>
        <v xml:space="preserve"> </v>
      </c>
      <c r="I425" s="471">
        <f t="shared" si="25"/>
        <v>1420</v>
      </c>
      <c r="J425" s="471">
        <f t="shared" si="26"/>
        <v>0</v>
      </c>
      <c r="K425">
        <f t="shared" si="27"/>
        <v>1</v>
      </c>
    </row>
    <row r="426" spans="1:11" x14ac:dyDescent="0.2">
      <c r="A426" s="472">
        <v>1421</v>
      </c>
      <c r="B426" s="472"/>
      <c r="C426" s="472"/>
      <c r="D426" s="472"/>
      <c r="E426" s="274"/>
      <c r="F426" s="274"/>
      <c r="G426" s="476"/>
      <c r="H426" s="483" t="str">
        <f t="shared" si="24"/>
        <v xml:space="preserve"> </v>
      </c>
      <c r="I426" s="471">
        <f t="shared" si="25"/>
        <v>1421</v>
      </c>
      <c r="J426" s="471">
        <f t="shared" si="26"/>
        <v>0</v>
      </c>
      <c r="K426">
        <f t="shared" si="27"/>
        <v>1</v>
      </c>
    </row>
    <row r="427" spans="1:11" x14ac:dyDescent="0.2">
      <c r="A427" s="472">
        <v>1422</v>
      </c>
      <c r="B427" s="472"/>
      <c r="C427" s="472"/>
      <c r="D427" s="472"/>
      <c r="E427" s="274"/>
      <c r="F427" s="274"/>
      <c r="G427" s="476"/>
      <c r="H427" s="483" t="str">
        <f t="shared" si="24"/>
        <v xml:space="preserve"> </v>
      </c>
      <c r="I427" s="471">
        <f t="shared" si="25"/>
        <v>1422</v>
      </c>
      <c r="J427" s="471">
        <f t="shared" si="26"/>
        <v>0</v>
      </c>
      <c r="K427">
        <f t="shared" si="27"/>
        <v>1</v>
      </c>
    </row>
    <row r="428" spans="1:11" x14ac:dyDescent="0.2">
      <c r="A428" s="472">
        <v>1423</v>
      </c>
      <c r="B428" s="472"/>
      <c r="C428" s="472"/>
      <c r="D428" s="472"/>
      <c r="E428" s="274"/>
      <c r="F428" s="274"/>
      <c r="G428" s="476"/>
      <c r="H428" s="483" t="str">
        <f t="shared" si="24"/>
        <v xml:space="preserve"> </v>
      </c>
      <c r="I428" s="471">
        <f t="shared" si="25"/>
        <v>1423</v>
      </c>
      <c r="J428" s="471">
        <f t="shared" si="26"/>
        <v>0</v>
      </c>
      <c r="K428">
        <f t="shared" si="27"/>
        <v>1</v>
      </c>
    </row>
    <row r="429" spans="1:11" x14ac:dyDescent="0.2">
      <c r="A429" s="472">
        <v>1424</v>
      </c>
      <c r="B429" s="472"/>
      <c r="C429" s="472"/>
      <c r="D429" s="472"/>
      <c r="E429" s="274"/>
      <c r="F429" s="274"/>
      <c r="G429" s="476"/>
      <c r="H429" s="483" t="str">
        <f t="shared" si="24"/>
        <v xml:space="preserve"> </v>
      </c>
      <c r="I429" s="471">
        <f t="shared" si="25"/>
        <v>1424</v>
      </c>
      <c r="J429" s="471">
        <f t="shared" si="26"/>
        <v>0</v>
      </c>
      <c r="K429">
        <f t="shared" si="27"/>
        <v>1</v>
      </c>
    </row>
    <row r="430" spans="1:11" x14ac:dyDescent="0.2">
      <c r="A430" s="472">
        <v>1425</v>
      </c>
      <c r="B430" s="472"/>
      <c r="C430" s="472"/>
      <c r="D430" s="472"/>
      <c r="E430" s="274"/>
      <c r="F430" s="274"/>
      <c r="G430" s="476"/>
      <c r="H430" s="483" t="str">
        <f t="shared" si="24"/>
        <v xml:space="preserve"> </v>
      </c>
      <c r="I430" s="471">
        <f t="shared" si="25"/>
        <v>1425</v>
      </c>
      <c r="J430" s="471">
        <f t="shared" si="26"/>
        <v>0</v>
      </c>
      <c r="K430">
        <f t="shared" si="27"/>
        <v>1</v>
      </c>
    </row>
    <row r="431" spans="1:11" x14ac:dyDescent="0.2">
      <c r="A431" s="472">
        <v>1426</v>
      </c>
      <c r="B431" s="472"/>
      <c r="C431" s="472"/>
      <c r="D431" s="472"/>
      <c r="E431" s="274"/>
      <c r="F431" s="274"/>
      <c r="G431" s="476"/>
      <c r="H431" s="483" t="str">
        <f t="shared" si="24"/>
        <v xml:space="preserve"> </v>
      </c>
      <c r="I431" s="471">
        <f t="shared" si="25"/>
        <v>1426</v>
      </c>
      <c r="J431" s="471">
        <f t="shared" si="26"/>
        <v>0</v>
      </c>
      <c r="K431">
        <f t="shared" si="27"/>
        <v>1</v>
      </c>
    </row>
    <row r="432" spans="1:11" x14ac:dyDescent="0.2">
      <c r="A432" s="472">
        <v>1427</v>
      </c>
      <c r="B432" s="472"/>
      <c r="C432" s="472"/>
      <c r="D432" s="472"/>
      <c r="E432" s="274"/>
      <c r="F432" s="274"/>
      <c r="G432" s="476"/>
      <c r="H432" s="483" t="str">
        <f t="shared" si="24"/>
        <v xml:space="preserve"> </v>
      </c>
      <c r="I432" s="471">
        <f t="shared" si="25"/>
        <v>1427</v>
      </c>
      <c r="J432" s="471">
        <f t="shared" si="26"/>
        <v>0</v>
      </c>
      <c r="K432">
        <f t="shared" si="27"/>
        <v>1</v>
      </c>
    </row>
    <row r="433" spans="1:11" x14ac:dyDescent="0.2">
      <c r="A433" s="472">
        <v>1428</v>
      </c>
      <c r="B433" s="472"/>
      <c r="C433" s="472"/>
      <c r="D433" s="472"/>
      <c r="E433" s="274"/>
      <c r="F433" s="274"/>
      <c r="G433" s="476"/>
      <c r="H433" s="483" t="str">
        <f t="shared" si="24"/>
        <v xml:space="preserve"> </v>
      </c>
      <c r="I433" s="471">
        <f t="shared" si="25"/>
        <v>1428</v>
      </c>
      <c r="J433" s="471">
        <f t="shared" si="26"/>
        <v>0</v>
      </c>
      <c r="K433">
        <f t="shared" si="27"/>
        <v>1</v>
      </c>
    </row>
    <row r="434" spans="1:11" x14ac:dyDescent="0.2">
      <c r="A434" s="472">
        <v>1429</v>
      </c>
      <c r="B434" s="472"/>
      <c r="C434" s="472"/>
      <c r="D434" s="472"/>
      <c r="E434" s="274"/>
      <c r="F434" s="274"/>
      <c r="G434" s="476"/>
      <c r="H434" s="483" t="str">
        <f t="shared" si="24"/>
        <v xml:space="preserve"> </v>
      </c>
      <c r="I434" s="471">
        <f t="shared" si="25"/>
        <v>1429</v>
      </c>
      <c r="J434" s="471">
        <f t="shared" si="26"/>
        <v>0</v>
      </c>
      <c r="K434">
        <f t="shared" si="27"/>
        <v>1</v>
      </c>
    </row>
    <row r="435" spans="1:11" x14ac:dyDescent="0.2">
      <c r="A435" s="472">
        <v>1430</v>
      </c>
      <c r="B435" s="472"/>
      <c r="C435" s="472"/>
      <c r="D435" s="472"/>
      <c r="E435" s="274"/>
      <c r="F435" s="274"/>
      <c r="G435" s="476"/>
      <c r="H435" s="483" t="str">
        <f t="shared" si="24"/>
        <v xml:space="preserve"> </v>
      </c>
      <c r="I435" s="471">
        <f t="shared" si="25"/>
        <v>1430</v>
      </c>
      <c r="J435" s="471">
        <f t="shared" si="26"/>
        <v>0</v>
      </c>
      <c r="K435">
        <f t="shared" si="27"/>
        <v>1</v>
      </c>
    </row>
    <row r="436" spans="1:11" x14ac:dyDescent="0.2">
      <c r="A436" s="472">
        <v>1431</v>
      </c>
      <c r="B436" s="472"/>
      <c r="C436" s="472"/>
      <c r="D436" s="472"/>
      <c r="E436" s="274"/>
      <c r="F436" s="274"/>
      <c r="G436" s="476"/>
      <c r="H436" s="483" t="str">
        <f t="shared" si="24"/>
        <v xml:space="preserve"> </v>
      </c>
      <c r="I436" s="471">
        <f t="shared" si="25"/>
        <v>1431</v>
      </c>
      <c r="J436" s="471">
        <f t="shared" si="26"/>
        <v>0</v>
      </c>
      <c r="K436">
        <f t="shared" si="27"/>
        <v>1</v>
      </c>
    </row>
    <row r="437" spans="1:11" x14ac:dyDescent="0.2">
      <c r="A437" s="472">
        <v>1432</v>
      </c>
      <c r="B437" s="472"/>
      <c r="C437" s="472"/>
      <c r="D437" s="472"/>
      <c r="E437" s="274"/>
      <c r="F437" s="274"/>
      <c r="G437" s="476"/>
      <c r="H437" s="483" t="str">
        <f t="shared" si="24"/>
        <v xml:space="preserve"> </v>
      </c>
      <c r="I437" s="471">
        <f t="shared" si="25"/>
        <v>1432</v>
      </c>
      <c r="J437" s="471">
        <f t="shared" si="26"/>
        <v>0</v>
      </c>
      <c r="K437">
        <f t="shared" si="27"/>
        <v>1</v>
      </c>
    </row>
    <row r="438" spans="1:11" x14ac:dyDescent="0.2">
      <c r="A438" s="472">
        <v>1433</v>
      </c>
      <c r="B438" s="472"/>
      <c r="C438" s="472"/>
      <c r="D438" s="472"/>
      <c r="E438" s="274"/>
      <c r="F438" s="274"/>
      <c r="G438" s="476"/>
      <c r="H438" s="483" t="str">
        <f t="shared" si="24"/>
        <v xml:space="preserve"> </v>
      </c>
      <c r="I438" s="471">
        <f t="shared" si="25"/>
        <v>1433</v>
      </c>
      <c r="J438" s="471">
        <f t="shared" si="26"/>
        <v>0</v>
      </c>
      <c r="K438">
        <f t="shared" si="27"/>
        <v>1</v>
      </c>
    </row>
    <row r="439" spans="1:11" x14ac:dyDescent="0.2">
      <c r="A439" s="472">
        <v>1434</v>
      </c>
      <c r="B439" s="472"/>
      <c r="C439" s="472"/>
      <c r="D439" s="472"/>
      <c r="E439" s="274"/>
      <c r="F439" s="274"/>
      <c r="G439" s="476"/>
      <c r="H439" s="483" t="str">
        <f t="shared" si="24"/>
        <v xml:space="preserve"> </v>
      </c>
      <c r="I439" s="471">
        <f t="shared" si="25"/>
        <v>1434</v>
      </c>
      <c r="J439" s="471">
        <f t="shared" si="26"/>
        <v>0</v>
      </c>
      <c r="K439">
        <f t="shared" si="27"/>
        <v>1</v>
      </c>
    </row>
    <row r="440" spans="1:11" x14ac:dyDescent="0.2">
      <c r="A440" s="472">
        <v>1435</v>
      </c>
      <c r="B440" s="472"/>
      <c r="C440" s="472"/>
      <c r="D440" s="472"/>
      <c r="E440" s="274"/>
      <c r="F440" s="274"/>
      <c r="G440" s="476"/>
      <c r="H440" s="483" t="str">
        <f t="shared" si="24"/>
        <v xml:space="preserve"> </v>
      </c>
      <c r="I440" s="471">
        <f t="shared" si="25"/>
        <v>1435</v>
      </c>
      <c r="J440" s="471">
        <f t="shared" si="26"/>
        <v>0</v>
      </c>
      <c r="K440">
        <f t="shared" si="27"/>
        <v>1</v>
      </c>
    </row>
    <row r="441" spans="1:11" x14ac:dyDescent="0.2">
      <c r="A441" s="472">
        <v>1436</v>
      </c>
      <c r="B441" s="472"/>
      <c r="C441" s="472"/>
      <c r="D441" s="472"/>
      <c r="E441" s="274"/>
      <c r="F441" s="274"/>
      <c r="G441" s="476"/>
      <c r="H441" s="483" t="str">
        <f t="shared" si="24"/>
        <v xml:space="preserve"> </v>
      </c>
      <c r="I441" s="471">
        <f t="shared" si="25"/>
        <v>1436</v>
      </c>
      <c r="J441" s="471">
        <f t="shared" si="26"/>
        <v>0</v>
      </c>
      <c r="K441">
        <f t="shared" si="27"/>
        <v>1</v>
      </c>
    </row>
    <row r="442" spans="1:11" x14ac:dyDescent="0.2">
      <c r="A442" s="472">
        <v>1437</v>
      </c>
      <c r="B442" s="472"/>
      <c r="C442" s="472"/>
      <c r="D442" s="472"/>
      <c r="E442" s="274"/>
      <c r="F442" s="274"/>
      <c r="G442" s="476"/>
      <c r="H442" s="483" t="str">
        <f t="shared" si="24"/>
        <v xml:space="preserve"> </v>
      </c>
      <c r="I442" s="471">
        <f t="shared" si="25"/>
        <v>1437</v>
      </c>
      <c r="J442" s="471">
        <f t="shared" si="26"/>
        <v>0</v>
      </c>
      <c r="K442">
        <f t="shared" si="27"/>
        <v>1</v>
      </c>
    </row>
    <row r="443" spans="1:11" x14ac:dyDescent="0.2">
      <c r="A443" s="472">
        <v>1438</v>
      </c>
      <c r="B443" s="472"/>
      <c r="C443" s="472"/>
      <c r="D443" s="472"/>
      <c r="E443" s="274"/>
      <c r="F443" s="274"/>
      <c r="G443" s="476"/>
      <c r="H443" s="483" t="str">
        <f t="shared" si="24"/>
        <v xml:space="preserve"> </v>
      </c>
      <c r="I443" s="471">
        <f t="shared" si="25"/>
        <v>1438</v>
      </c>
      <c r="J443" s="471">
        <f t="shared" si="26"/>
        <v>0</v>
      </c>
      <c r="K443">
        <f t="shared" si="27"/>
        <v>1</v>
      </c>
    </row>
    <row r="444" spans="1:11" x14ac:dyDescent="0.2">
      <c r="A444" s="472">
        <v>1439</v>
      </c>
      <c r="B444" s="472"/>
      <c r="C444" s="472"/>
      <c r="D444" s="472"/>
      <c r="E444" s="274"/>
      <c r="F444" s="274"/>
      <c r="G444" s="476"/>
      <c r="H444" s="483" t="str">
        <f t="shared" si="24"/>
        <v xml:space="preserve"> </v>
      </c>
      <c r="I444" s="471">
        <f t="shared" si="25"/>
        <v>1439</v>
      </c>
      <c r="J444" s="471">
        <f t="shared" si="26"/>
        <v>0</v>
      </c>
      <c r="K444">
        <f t="shared" si="27"/>
        <v>1</v>
      </c>
    </row>
    <row r="445" spans="1:11" x14ac:dyDescent="0.2">
      <c r="A445" s="472">
        <v>1440</v>
      </c>
      <c r="B445" s="472"/>
      <c r="C445" s="472"/>
      <c r="D445" s="472"/>
      <c r="E445" s="274"/>
      <c r="F445" s="274"/>
      <c r="G445" s="476"/>
      <c r="H445" s="483" t="str">
        <f t="shared" si="24"/>
        <v xml:space="preserve"> </v>
      </c>
      <c r="I445" s="471">
        <f t="shared" si="25"/>
        <v>1440</v>
      </c>
      <c r="J445" s="471">
        <f t="shared" si="26"/>
        <v>0</v>
      </c>
      <c r="K445">
        <f t="shared" si="27"/>
        <v>1</v>
      </c>
    </row>
    <row r="446" spans="1:11" x14ac:dyDescent="0.2">
      <c r="A446" s="472">
        <v>1441</v>
      </c>
      <c r="B446" s="472"/>
      <c r="C446" s="472"/>
      <c r="D446" s="472"/>
      <c r="E446" s="274"/>
      <c r="F446" s="274"/>
      <c r="G446" s="476"/>
      <c r="H446" s="483" t="str">
        <f t="shared" si="24"/>
        <v xml:space="preserve"> </v>
      </c>
      <c r="I446" s="471">
        <f t="shared" si="25"/>
        <v>1441</v>
      </c>
      <c r="J446" s="471">
        <f t="shared" si="26"/>
        <v>0</v>
      </c>
      <c r="K446">
        <f t="shared" si="27"/>
        <v>1</v>
      </c>
    </row>
    <row r="447" spans="1:11" x14ac:dyDescent="0.2">
      <c r="A447" s="472">
        <v>1442</v>
      </c>
      <c r="B447" s="472"/>
      <c r="C447" s="472"/>
      <c r="D447" s="472"/>
      <c r="E447" s="274"/>
      <c r="F447" s="274"/>
      <c r="G447" s="476"/>
      <c r="H447" s="483" t="str">
        <f t="shared" si="24"/>
        <v xml:space="preserve"> </v>
      </c>
      <c r="I447" s="471">
        <f t="shared" si="25"/>
        <v>1442</v>
      </c>
      <c r="J447" s="471">
        <f t="shared" si="26"/>
        <v>0</v>
      </c>
      <c r="K447">
        <f t="shared" si="27"/>
        <v>1</v>
      </c>
    </row>
    <row r="448" spans="1:11" x14ac:dyDescent="0.2">
      <c r="A448" s="472">
        <v>1443</v>
      </c>
      <c r="B448" s="472"/>
      <c r="C448" s="472"/>
      <c r="D448" s="472"/>
      <c r="E448" s="274"/>
      <c r="F448" s="274"/>
      <c r="G448" s="476"/>
      <c r="H448" s="483" t="str">
        <f t="shared" si="24"/>
        <v xml:space="preserve"> </v>
      </c>
      <c r="I448" s="471">
        <f t="shared" si="25"/>
        <v>1443</v>
      </c>
      <c r="J448" s="471">
        <f t="shared" si="26"/>
        <v>0</v>
      </c>
      <c r="K448">
        <f t="shared" si="27"/>
        <v>1</v>
      </c>
    </row>
    <row r="449" spans="1:11" x14ac:dyDescent="0.2">
      <c r="A449" s="472">
        <v>1444</v>
      </c>
      <c r="B449" s="472"/>
      <c r="C449" s="472"/>
      <c r="D449" s="472"/>
      <c r="E449" s="274"/>
      <c r="F449" s="274"/>
      <c r="G449" s="476"/>
      <c r="H449" s="483" t="str">
        <f t="shared" si="24"/>
        <v xml:space="preserve"> </v>
      </c>
      <c r="I449" s="471">
        <f t="shared" si="25"/>
        <v>1444</v>
      </c>
      <c r="J449" s="471">
        <f t="shared" si="26"/>
        <v>0</v>
      </c>
      <c r="K449">
        <f t="shared" si="27"/>
        <v>1</v>
      </c>
    </row>
    <row r="450" spans="1:11" x14ac:dyDescent="0.2">
      <c r="A450" s="472">
        <v>1445</v>
      </c>
      <c r="B450" s="472"/>
      <c r="C450" s="472"/>
      <c r="D450" s="472"/>
      <c r="E450" s="274"/>
      <c r="F450" s="274"/>
      <c r="G450" s="476"/>
      <c r="H450" s="483" t="str">
        <f t="shared" si="24"/>
        <v xml:space="preserve"> </v>
      </c>
      <c r="I450" s="471">
        <f t="shared" si="25"/>
        <v>1445</v>
      </c>
      <c r="J450" s="471">
        <f t="shared" si="26"/>
        <v>0</v>
      </c>
      <c r="K450">
        <f t="shared" si="27"/>
        <v>1</v>
      </c>
    </row>
    <row r="451" spans="1:11" x14ac:dyDescent="0.2">
      <c r="A451" s="472">
        <v>1446</v>
      </c>
      <c r="B451" s="472"/>
      <c r="C451" s="472"/>
      <c r="D451" s="472"/>
      <c r="E451" s="274"/>
      <c r="F451" s="274"/>
      <c r="G451" s="476"/>
      <c r="H451" s="483" t="str">
        <f t="shared" si="24"/>
        <v xml:space="preserve"> </v>
      </c>
      <c r="I451" s="471">
        <f t="shared" si="25"/>
        <v>1446</v>
      </c>
      <c r="J451" s="471">
        <f t="shared" si="26"/>
        <v>0</v>
      </c>
      <c r="K451">
        <f t="shared" si="27"/>
        <v>1</v>
      </c>
    </row>
    <row r="452" spans="1:11" x14ac:dyDescent="0.2">
      <c r="A452" s="472">
        <v>1447</v>
      </c>
      <c r="B452" s="472"/>
      <c r="C452" s="472"/>
      <c r="D452" s="472"/>
      <c r="E452" s="274"/>
      <c r="F452" s="274"/>
      <c r="G452" s="476"/>
      <c r="H452" s="483" t="str">
        <f t="shared" si="24"/>
        <v xml:space="preserve"> </v>
      </c>
      <c r="I452" s="471">
        <f t="shared" si="25"/>
        <v>1447</v>
      </c>
      <c r="J452" s="471">
        <f t="shared" si="26"/>
        <v>0</v>
      </c>
      <c r="K452">
        <f t="shared" si="27"/>
        <v>1</v>
      </c>
    </row>
    <row r="453" spans="1:11" x14ac:dyDescent="0.2">
      <c r="A453" s="472">
        <v>1448</v>
      </c>
      <c r="B453" s="472"/>
      <c r="C453" s="472"/>
      <c r="D453" s="472"/>
      <c r="E453" s="274"/>
      <c r="F453" s="274"/>
      <c r="G453" s="476"/>
      <c r="H453" s="483" t="str">
        <f t="shared" si="24"/>
        <v xml:space="preserve"> </v>
      </c>
      <c r="I453" s="471">
        <f t="shared" si="25"/>
        <v>1448</v>
      </c>
      <c r="J453" s="471">
        <f t="shared" si="26"/>
        <v>0</v>
      </c>
      <c r="K453">
        <f t="shared" si="27"/>
        <v>1</v>
      </c>
    </row>
    <row r="454" spans="1:11" x14ac:dyDescent="0.2">
      <c r="A454" s="472">
        <v>1449</v>
      </c>
      <c r="B454" s="472"/>
      <c r="C454" s="472"/>
      <c r="D454" s="472"/>
      <c r="E454" s="274"/>
      <c r="F454" s="274"/>
      <c r="G454" s="476"/>
      <c r="H454" s="483" t="str">
        <f t="shared" ref="H454:H517" si="28">CONCATENATE(B454," ",C454)</f>
        <v xml:space="preserve"> </v>
      </c>
      <c r="I454" s="471">
        <f t="shared" ref="I454:I517" si="29">A454</f>
        <v>1449</v>
      </c>
      <c r="J454" s="471">
        <f t="shared" ref="J454:J517" si="30">G454</f>
        <v>0</v>
      </c>
      <c r="K454">
        <f t="shared" ref="K454:K517" si="31">LEN(H454)</f>
        <v>1</v>
      </c>
    </row>
    <row r="455" spans="1:11" x14ac:dyDescent="0.2">
      <c r="A455" s="472">
        <v>1450</v>
      </c>
      <c r="B455" s="472"/>
      <c r="C455" s="472"/>
      <c r="D455" s="472"/>
      <c r="E455" s="274"/>
      <c r="F455" s="274"/>
      <c r="G455" s="476"/>
      <c r="H455" s="483" t="str">
        <f t="shared" si="28"/>
        <v xml:space="preserve"> </v>
      </c>
      <c r="I455" s="471">
        <f t="shared" si="29"/>
        <v>1450</v>
      </c>
      <c r="J455" s="471">
        <f t="shared" si="30"/>
        <v>0</v>
      </c>
      <c r="K455">
        <f t="shared" si="31"/>
        <v>1</v>
      </c>
    </row>
    <row r="456" spans="1:11" x14ac:dyDescent="0.2">
      <c r="A456" s="472">
        <v>1451</v>
      </c>
      <c r="B456" s="472"/>
      <c r="C456" s="472"/>
      <c r="D456" s="472"/>
      <c r="E456" s="274"/>
      <c r="F456" s="274"/>
      <c r="G456" s="476"/>
      <c r="H456" s="483" t="str">
        <f t="shared" si="28"/>
        <v xml:space="preserve"> </v>
      </c>
      <c r="I456" s="471">
        <f t="shared" si="29"/>
        <v>1451</v>
      </c>
      <c r="J456" s="471">
        <f t="shared" si="30"/>
        <v>0</v>
      </c>
      <c r="K456">
        <f t="shared" si="31"/>
        <v>1</v>
      </c>
    </row>
    <row r="457" spans="1:11" x14ac:dyDescent="0.2">
      <c r="A457" s="472">
        <v>1452</v>
      </c>
      <c r="B457" s="472"/>
      <c r="C457" s="472"/>
      <c r="D457" s="472"/>
      <c r="E457" s="274"/>
      <c r="F457" s="274"/>
      <c r="G457" s="476"/>
      <c r="H457" s="483" t="str">
        <f t="shared" si="28"/>
        <v xml:space="preserve"> </v>
      </c>
      <c r="I457" s="471">
        <f t="shared" si="29"/>
        <v>1452</v>
      </c>
      <c r="J457" s="471">
        <f t="shared" si="30"/>
        <v>0</v>
      </c>
      <c r="K457">
        <f t="shared" si="31"/>
        <v>1</v>
      </c>
    </row>
    <row r="458" spans="1:11" x14ac:dyDescent="0.2">
      <c r="A458" s="472">
        <v>1453</v>
      </c>
      <c r="B458" s="472"/>
      <c r="C458" s="472"/>
      <c r="D458" s="472"/>
      <c r="E458" s="274"/>
      <c r="F458" s="274"/>
      <c r="G458" s="476"/>
      <c r="H458" s="483" t="str">
        <f t="shared" si="28"/>
        <v xml:space="preserve"> </v>
      </c>
      <c r="I458" s="471">
        <f t="shared" si="29"/>
        <v>1453</v>
      </c>
      <c r="J458" s="471">
        <f t="shared" si="30"/>
        <v>0</v>
      </c>
      <c r="K458">
        <f t="shared" si="31"/>
        <v>1</v>
      </c>
    </row>
    <row r="459" spans="1:11" x14ac:dyDescent="0.2">
      <c r="A459" s="472">
        <v>1454</v>
      </c>
      <c r="B459" s="472"/>
      <c r="C459" s="472"/>
      <c r="D459" s="472"/>
      <c r="E459" s="274"/>
      <c r="F459" s="274"/>
      <c r="G459" s="476"/>
      <c r="H459" s="483" t="str">
        <f t="shared" si="28"/>
        <v xml:space="preserve"> </v>
      </c>
      <c r="I459" s="471">
        <f t="shared" si="29"/>
        <v>1454</v>
      </c>
      <c r="J459" s="471">
        <f t="shared" si="30"/>
        <v>0</v>
      </c>
      <c r="K459">
        <f t="shared" si="31"/>
        <v>1</v>
      </c>
    </row>
    <row r="460" spans="1:11" x14ac:dyDescent="0.2">
      <c r="A460" s="472">
        <v>1455</v>
      </c>
      <c r="B460" s="472"/>
      <c r="C460" s="472"/>
      <c r="D460" s="472"/>
      <c r="E460" s="274"/>
      <c r="F460" s="274"/>
      <c r="G460" s="476"/>
      <c r="H460" s="483" t="str">
        <f t="shared" si="28"/>
        <v xml:space="preserve"> </v>
      </c>
      <c r="I460" s="471">
        <f t="shared" si="29"/>
        <v>1455</v>
      </c>
      <c r="J460" s="471">
        <f t="shared" si="30"/>
        <v>0</v>
      </c>
      <c r="K460">
        <f t="shared" si="31"/>
        <v>1</v>
      </c>
    </row>
    <row r="461" spans="1:11" x14ac:dyDescent="0.2">
      <c r="A461" s="472">
        <v>1456</v>
      </c>
      <c r="B461" s="472"/>
      <c r="C461" s="472"/>
      <c r="D461" s="472"/>
      <c r="E461" s="274"/>
      <c r="F461" s="274"/>
      <c r="G461" s="476"/>
      <c r="H461" s="483" t="str">
        <f t="shared" si="28"/>
        <v xml:space="preserve"> </v>
      </c>
      <c r="I461" s="471">
        <f t="shared" si="29"/>
        <v>1456</v>
      </c>
      <c r="J461" s="471">
        <f t="shared" si="30"/>
        <v>0</v>
      </c>
      <c r="K461">
        <f t="shared" si="31"/>
        <v>1</v>
      </c>
    </row>
    <row r="462" spans="1:11" x14ac:dyDescent="0.2">
      <c r="A462" s="472">
        <v>1457</v>
      </c>
      <c r="B462" s="472"/>
      <c r="C462" s="472"/>
      <c r="D462" s="472"/>
      <c r="E462" s="274"/>
      <c r="F462" s="274"/>
      <c r="G462" s="476"/>
      <c r="H462" s="483" t="str">
        <f t="shared" si="28"/>
        <v xml:space="preserve"> </v>
      </c>
      <c r="I462" s="471">
        <f t="shared" si="29"/>
        <v>1457</v>
      </c>
      <c r="J462" s="471">
        <f t="shared" si="30"/>
        <v>0</v>
      </c>
      <c r="K462">
        <f t="shared" si="31"/>
        <v>1</v>
      </c>
    </row>
    <row r="463" spans="1:11" x14ac:dyDescent="0.2">
      <c r="A463" s="472">
        <v>1458</v>
      </c>
      <c r="B463" s="472"/>
      <c r="C463" s="472"/>
      <c r="D463" s="472"/>
      <c r="E463" s="274"/>
      <c r="F463" s="274"/>
      <c r="G463" s="476"/>
      <c r="H463" s="483" t="str">
        <f t="shared" si="28"/>
        <v xml:space="preserve"> </v>
      </c>
      <c r="I463" s="471">
        <f t="shared" si="29"/>
        <v>1458</v>
      </c>
      <c r="J463" s="471">
        <f t="shared" si="30"/>
        <v>0</v>
      </c>
      <c r="K463">
        <f t="shared" si="31"/>
        <v>1</v>
      </c>
    </row>
    <row r="464" spans="1:11" x14ac:dyDescent="0.2">
      <c r="A464" s="472">
        <v>1459</v>
      </c>
      <c r="B464" s="472"/>
      <c r="C464" s="472"/>
      <c r="D464" s="472"/>
      <c r="E464" s="274"/>
      <c r="F464" s="274"/>
      <c r="G464" s="476"/>
      <c r="H464" s="483" t="str">
        <f t="shared" si="28"/>
        <v xml:space="preserve"> </v>
      </c>
      <c r="I464" s="471">
        <f t="shared" si="29"/>
        <v>1459</v>
      </c>
      <c r="J464" s="471">
        <f t="shared" si="30"/>
        <v>0</v>
      </c>
      <c r="K464">
        <f t="shared" si="31"/>
        <v>1</v>
      </c>
    </row>
    <row r="465" spans="1:11" x14ac:dyDescent="0.2">
      <c r="A465" s="472">
        <v>1460</v>
      </c>
      <c r="B465" s="472"/>
      <c r="C465" s="472"/>
      <c r="D465" s="472"/>
      <c r="E465" s="274"/>
      <c r="F465" s="274"/>
      <c r="G465" s="476"/>
      <c r="H465" s="483" t="str">
        <f t="shared" si="28"/>
        <v xml:space="preserve"> </v>
      </c>
      <c r="I465" s="471">
        <f t="shared" si="29"/>
        <v>1460</v>
      </c>
      <c r="J465" s="471">
        <f t="shared" si="30"/>
        <v>0</v>
      </c>
      <c r="K465">
        <f t="shared" si="31"/>
        <v>1</v>
      </c>
    </row>
    <row r="466" spans="1:11" x14ac:dyDescent="0.2">
      <c r="A466" s="472">
        <v>1461</v>
      </c>
      <c r="B466" s="472"/>
      <c r="C466" s="472"/>
      <c r="D466" s="472"/>
      <c r="E466" s="274"/>
      <c r="F466" s="274"/>
      <c r="G466" s="476"/>
      <c r="H466" s="483" t="str">
        <f t="shared" si="28"/>
        <v xml:space="preserve"> </v>
      </c>
      <c r="I466" s="471">
        <f t="shared" si="29"/>
        <v>1461</v>
      </c>
      <c r="J466" s="471">
        <f t="shared" si="30"/>
        <v>0</v>
      </c>
      <c r="K466">
        <f t="shared" si="31"/>
        <v>1</v>
      </c>
    </row>
    <row r="467" spans="1:11" x14ac:dyDescent="0.2">
      <c r="A467" s="472">
        <v>1462</v>
      </c>
      <c r="B467" s="472"/>
      <c r="C467" s="472"/>
      <c r="D467" s="472"/>
      <c r="E467" s="274"/>
      <c r="F467" s="274"/>
      <c r="G467" s="476"/>
      <c r="H467" s="483" t="str">
        <f t="shared" si="28"/>
        <v xml:space="preserve"> </v>
      </c>
      <c r="I467" s="471">
        <f t="shared" si="29"/>
        <v>1462</v>
      </c>
      <c r="J467" s="471">
        <f t="shared" si="30"/>
        <v>0</v>
      </c>
      <c r="K467">
        <f t="shared" si="31"/>
        <v>1</v>
      </c>
    </row>
    <row r="468" spans="1:11" x14ac:dyDescent="0.2">
      <c r="A468" s="472">
        <v>1463</v>
      </c>
      <c r="B468" s="472"/>
      <c r="C468" s="472"/>
      <c r="D468" s="472"/>
      <c r="E468" s="274"/>
      <c r="F468" s="274"/>
      <c r="G468" s="476"/>
      <c r="H468" s="483" t="str">
        <f t="shared" si="28"/>
        <v xml:space="preserve"> </v>
      </c>
      <c r="I468" s="471">
        <f t="shared" si="29"/>
        <v>1463</v>
      </c>
      <c r="J468" s="471">
        <f t="shared" si="30"/>
        <v>0</v>
      </c>
      <c r="K468">
        <f t="shared" si="31"/>
        <v>1</v>
      </c>
    </row>
    <row r="469" spans="1:11" x14ac:dyDescent="0.2">
      <c r="A469" s="472">
        <v>1464</v>
      </c>
      <c r="B469" s="472"/>
      <c r="C469" s="472"/>
      <c r="D469" s="472"/>
      <c r="E469" s="274"/>
      <c r="F469" s="274"/>
      <c r="G469" s="476"/>
      <c r="H469" s="483" t="str">
        <f t="shared" si="28"/>
        <v xml:space="preserve"> </v>
      </c>
      <c r="I469" s="471">
        <f t="shared" si="29"/>
        <v>1464</v>
      </c>
      <c r="J469" s="471">
        <f t="shared" si="30"/>
        <v>0</v>
      </c>
      <c r="K469">
        <f t="shared" si="31"/>
        <v>1</v>
      </c>
    </row>
    <row r="470" spans="1:11" x14ac:dyDescent="0.2">
      <c r="A470" s="472">
        <v>1465</v>
      </c>
      <c r="B470" s="472"/>
      <c r="C470" s="472"/>
      <c r="D470" s="472"/>
      <c r="E470" s="274"/>
      <c r="F470" s="274"/>
      <c r="G470" s="476"/>
      <c r="H470" s="483" t="str">
        <f t="shared" si="28"/>
        <v xml:space="preserve"> </v>
      </c>
      <c r="I470" s="471">
        <f t="shared" si="29"/>
        <v>1465</v>
      </c>
      <c r="J470" s="471">
        <f t="shared" si="30"/>
        <v>0</v>
      </c>
      <c r="K470">
        <f t="shared" si="31"/>
        <v>1</v>
      </c>
    </row>
    <row r="471" spans="1:11" x14ac:dyDescent="0.2">
      <c r="A471" s="472">
        <v>1466</v>
      </c>
      <c r="B471" s="472"/>
      <c r="C471" s="472"/>
      <c r="D471" s="472"/>
      <c r="E471" s="274"/>
      <c r="F471" s="274"/>
      <c r="G471" s="476"/>
      <c r="H471" s="483" t="str">
        <f t="shared" si="28"/>
        <v xml:space="preserve"> </v>
      </c>
      <c r="I471" s="471">
        <f t="shared" si="29"/>
        <v>1466</v>
      </c>
      <c r="J471" s="471">
        <f t="shared" si="30"/>
        <v>0</v>
      </c>
      <c r="K471">
        <f t="shared" si="31"/>
        <v>1</v>
      </c>
    </row>
    <row r="472" spans="1:11" x14ac:dyDescent="0.2">
      <c r="A472" s="472">
        <v>1467</v>
      </c>
      <c r="B472" s="472"/>
      <c r="C472" s="472"/>
      <c r="D472" s="472"/>
      <c r="E472" s="274"/>
      <c r="F472" s="274"/>
      <c r="G472" s="476"/>
      <c r="H472" s="483" t="str">
        <f t="shared" si="28"/>
        <v xml:space="preserve"> </v>
      </c>
      <c r="I472" s="471">
        <f t="shared" si="29"/>
        <v>1467</v>
      </c>
      <c r="J472" s="471">
        <f t="shared" si="30"/>
        <v>0</v>
      </c>
      <c r="K472">
        <f t="shared" si="31"/>
        <v>1</v>
      </c>
    </row>
    <row r="473" spans="1:11" x14ac:dyDescent="0.2">
      <c r="A473" s="472">
        <v>1468</v>
      </c>
      <c r="B473" s="472"/>
      <c r="C473" s="472"/>
      <c r="D473" s="472"/>
      <c r="E473" s="274"/>
      <c r="F473" s="274"/>
      <c r="G473" s="476"/>
      <c r="H473" s="483" t="str">
        <f t="shared" si="28"/>
        <v xml:space="preserve"> </v>
      </c>
      <c r="I473" s="471">
        <f t="shared" si="29"/>
        <v>1468</v>
      </c>
      <c r="J473" s="471">
        <f t="shared" si="30"/>
        <v>0</v>
      </c>
      <c r="K473">
        <f t="shared" si="31"/>
        <v>1</v>
      </c>
    </row>
    <row r="474" spans="1:11" x14ac:dyDescent="0.2">
      <c r="A474" s="472">
        <v>1469</v>
      </c>
      <c r="B474" s="472"/>
      <c r="C474" s="472"/>
      <c r="D474" s="472"/>
      <c r="E474" s="274"/>
      <c r="F474" s="274"/>
      <c r="G474" s="476"/>
      <c r="H474" s="483" t="str">
        <f t="shared" si="28"/>
        <v xml:space="preserve"> </v>
      </c>
      <c r="I474" s="471">
        <f t="shared" si="29"/>
        <v>1469</v>
      </c>
      <c r="J474" s="471">
        <f t="shared" si="30"/>
        <v>0</v>
      </c>
      <c r="K474">
        <f t="shared" si="31"/>
        <v>1</v>
      </c>
    </row>
    <row r="475" spans="1:11" x14ac:dyDescent="0.2">
      <c r="A475" s="472">
        <v>1470</v>
      </c>
      <c r="B475" s="472"/>
      <c r="C475" s="472"/>
      <c r="D475" s="472"/>
      <c r="E475" s="274"/>
      <c r="F475" s="274"/>
      <c r="G475" s="476"/>
      <c r="H475" s="483" t="str">
        <f t="shared" si="28"/>
        <v xml:space="preserve"> </v>
      </c>
      <c r="I475" s="471">
        <f t="shared" si="29"/>
        <v>1470</v>
      </c>
      <c r="J475" s="471">
        <f t="shared" si="30"/>
        <v>0</v>
      </c>
      <c r="K475">
        <f t="shared" si="31"/>
        <v>1</v>
      </c>
    </row>
    <row r="476" spans="1:11" x14ac:dyDescent="0.2">
      <c r="A476" s="472">
        <v>1471</v>
      </c>
      <c r="B476" s="472"/>
      <c r="C476" s="472"/>
      <c r="D476" s="472"/>
      <c r="E476" s="274"/>
      <c r="F476" s="274"/>
      <c r="G476" s="476"/>
      <c r="H476" s="483" t="str">
        <f t="shared" si="28"/>
        <v xml:space="preserve"> </v>
      </c>
      <c r="I476" s="471">
        <f t="shared" si="29"/>
        <v>1471</v>
      </c>
      <c r="J476" s="471">
        <f t="shared" si="30"/>
        <v>0</v>
      </c>
      <c r="K476">
        <f t="shared" si="31"/>
        <v>1</v>
      </c>
    </row>
    <row r="477" spans="1:11" x14ac:dyDescent="0.2">
      <c r="A477" s="472">
        <v>1472</v>
      </c>
      <c r="B477" s="472"/>
      <c r="C477" s="472"/>
      <c r="D477" s="472"/>
      <c r="E477" s="274"/>
      <c r="F477" s="274"/>
      <c r="G477" s="476"/>
      <c r="H477" s="483" t="str">
        <f t="shared" si="28"/>
        <v xml:space="preserve"> </v>
      </c>
      <c r="I477" s="471">
        <f t="shared" si="29"/>
        <v>1472</v>
      </c>
      <c r="J477" s="471">
        <f t="shared" si="30"/>
        <v>0</v>
      </c>
      <c r="K477">
        <f t="shared" si="31"/>
        <v>1</v>
      </c>
    </row>
    <row r="478" spans="1:11" x14ac:dyDescent="0.2">
      <c r="A478" s="472">
        <v>1473</v>
      </c>
      <c r="B478" s="472"/>
      <c r="C478" s="472"/>
      <c r="D478" s="472"/>
      <c r="E478" s="274"/>
      <c r="F478" s="274"/>
      <c r="G478" s="476"/>
      <c r="H478" s="483" t="str">
        <f t="shared" si="28"/>
        <v xml:space="preserve"> </v>
      </c>
      <c r="I478" s="471">
        <f t="shared" si="29"/>
        <v>1473</v>
      </c>
      <c r="J478" s="471">
        <f t="shared" si="30"/>
        <v>0</v>
      </c>
      <c r="K478">
        <f t="shared" si="31"/>
        <v>1</v>
      </c>
    </row>
    <row r="479" spans="1:11" x14ac:dyDescent="0.2">
      <c r="A479" s="472">
        <v>1474</v>
      </c>
      <c r="B479" s="475" t="s">
        <v>410</v>
      </c>
      <c r="C479" s="472"/>
      <c r="D479" s="472"/>
      <c r="E479" s="274"/>
      <c r="F479" s="274"/>
      <c r="G479" s="476"/>
      <c r="H479" s="483" t="str">
        <f t="shared" si="28"/>
        <v xml:space="preserve">Did Not Shoot </v>
      </c>
      <c r="I479" s="471">
        <f t="shared" si="29"/>
        <v>1474</v>
      </c>
      <c r="J479" s="471">
        <f t="shared" si="30"/>
        <v>0</v>
      </c>
      <c r="K479">
        <f t="shared" si="31"/>
        <v>14</v>
      </c>
    </row>
    <row r="480" spans="1:11" x14ac:dyDescent="0.2">
      <c r="A480" s="472">
        <v>1475</v>
      </c>
      <c r="B480" s="472"/>
      <c r="C480" s="472"/>
      <c r="D480" s="472"/>
      <c r="E480" s="274"/>
      <c r="F480" s="274"/>
      <c r="G480" s="476"/>
      <c r="H480" s="483" t="str">
        <f t="shared" si="28"/>
        <v xml:space="preserve"> </v>
      </c>
      <c r="I480" s="471">
        <f t="shared" si="29"/>
        <v>1475</v>
      </c>
      <c r="J480" s="471">
        <f t="shared" si="30"/>
        <v>0</v>
      </c>
      <c r="K480">
        <f t="shared" si="31"/>
        <v>1</v>
      </c>
    </row>
    <row r="481" spans="1:11" x14ac:dyDescent="0.2">
      <c r="A481" s="472">
        <v>1476</v>
      </c>
      <c r="B481" s="472"/>
      <c r="C481" s="472"/>
      <c r="D481" s="472"/>
      <c r="E481" s="274"/>
      <c r="F481" s="274"/>
      <c r="G481" s="476"/>
      <c r="H481" s="483" t="str">
        <f t="shared" si="28"/>
        <v xml:space="preserve"> </v>
      </c>
      <c r="I481" s="471">
        <f t="shared" si="29"/>
        <v>1476</v>
      </c>
      <c r="J481" s="471">
        <f t="shared" si="30"/>
        <v>0</v>
      </c>
      <c r="K481">
        <f t="shared" si="31"/>
        <v>1</v>
      </c>
    </row>
    <row r="482" spans="1:11" x14ac:dyDescent="0.2">
      <c r="A482" s="472">
        <v>1477</v>
      </c>
      <c r="B482" s="472"/>
      <c r="C482" s="472"/>
      <c r="D482" s="472"/>
      <c r="E482" s="274"/>
      <c r="F482" s="274"/>
      <c r="G482" s="476"/>
      <c r="H482" s="483" t="str">
        <f t="shared" si="28"/>
        <v xml:space="preserve"> </v>
      </c>
      <c r="I482" s="471">
        <f t="shared" si="29"/>
        <v>1477</v>
      </c>
      <c r="J482" s="471">
        <f t="shared" si="30"/>
        <v>0</v>
      </c>
      <c r="K482">
        <f t="shared" si="31"/>
        <v>1</v>
      </c>
    </row>
    <row r="483" spans="1:11" x14ac:dyDescent="0.2">
      <c r="A483" s="472">
        <v>1478</v>
      </c>
      <c r="B483" s="472"/>
      <c r="C483" s="472"/>
      <c r="D483" s="472"/>
      <c r="E483" s="274"/>
      <c r="F483" s="274"/>
      <c r="G483" s="476"/>
      <c r="H483" s="483" t="str">
        <f t="shared" si="28"/>
        <v xml:space="preserve"> </v>
      </c>
      <c r="I483" s="471">
        <f t="shared" si="29"/>
        <v>1478</v>
      </c>
      <c r="J483" s="471">
        <f t="shared" si="30"/>
        <v>0</v>
      </c>
      <c r="K483">
        <f t="shared" si="31"/>
        <v>1</v>
      </c>
    </row>
    <row r="484" spans="1:11" x14ac:dyDescent="0.2">
      <c r="A484" s="472">
        <v>1479</v>
      </c>
      <c r="B484" s="472"/>
      <c r="C484" s="472"/>
      <c r="D484" s="472"/>
      <c r="E484" s="274"/>
      <c r="F484" s="274"/>
      <c r="G484" s="476"/>
      <c r="H484" s="483" t="str">
        <f t="shared" si="28"/>
        <v xml:space="preserve"> </v>
      </c>
      <c r="I484" s="471">
        <f t="shared" si="29"/>
        <v>1479</v>
      </c>
      <c r="J484" s="471">
        <f t="shared" si="30"/>
        <v>0</v>
      </c>
      <c r="K484">
        <f t="shared" si="31"/>
        <v>1</v>
      </c>
    </row>
    <row r="485" spans="1:11" x14ac:dyDescent="0.2">
      <c r="A485" s="472">
        <v>1480</v>
      </c>
      <c r="B485" s="472"/>
      <c r="C485" s="472"/>
      <c r="D485" s="472"/>
      <c r="E485" s="274"/>
      <c r="F485" s="274"/>
      <c r="G485" s="476"/>
      <c r="H485" s="483" t="str">
        <f t="shared" si="28"/>
        <v xml:space="preserve"> </v>
      </c>
      <c r="I485" s="471">
        <f t="shared" si="29"/>
        <v>1480</v>
      </c>
      <c r="J485" s="471">
        <f t="shared" si="30"/>
        <v>0</v>
      </c>
      <c r="K485">
        <f t="shared" si="31"/>
        <v>1</v>
      </c>
    </row>
    <row r="486" spans="1:11" x14ac:dyDescent="0.2">
      <c r="A486" s="472">
        <v>1481</v>
      </c>
      <c r="B486" s="472"/>
      <c r="C486" s="472"/>
      <c r="D486" s="472"/>
      <c r="E486" s="274"/>
      <c r="F486" s="274"/>
      <c r="G486" s="476"/>
      <c r="H486" s="483" t="str">
        <f t="shared" si="28"/>
        <v xml:space="preserve"> </v>
      </c>
      <c r="I486" s="471">
        <f t="shared" si="29"/>
        <v>1481</v>
      </c>
      <c r="J486" s="471">
        <f t="shared" si="30"/>
        <v>0</v>
      </c>
      <c r="K486">
        <f t="shared" si="31"/>
        <v>1</v>
      </c>
    </row>
    <row r="487" spans="1:11" x14ac:dyDescent="0.2">
      <c r="A487" s="472">
        <v>1482</v>
      </c>
      <c r="B487" s="472"/>
      <c r="C487" s="472"/>
      <c r="D487" s="472"/>
      <c r="E487" s="274"/>
      <c r="F487" s="274"/>
      <c r="G487" s="476"/>
      <c r="H487" s="483" t="str">
        <f t="shared" si="28"/>
        <v xml:space="preserve"> </v>
      </c>
      <c r="I487" s="471">
        <f t="shared" si="29"/>
        <v>1482</v>
      </c>
      <c r="J487" s="471">
        <f t="shared" si="30"/>
        <v>0</v>
      </c>
      <c r="K487">
        <f t="shared" si="31"/>
        <v>1</v>
      </c>
    </row>
    <row r="488" spans="1:11" x14ac:dyDescent="0.2">
      <c r="A488" s="472">
        <v>1483</v>
      </c>
      <c r="B488" s="472"/>
      <c r="C488" s="472"/>
      <c r="D488" s="472"/>
      <c r="E488" s="274"/>
      <c r="F488" s="274"/>
      <c r="G488" s="476"/>
      <c r="H488" s="483" t="str">
        <f t="shared" si="28"/>
        <v xml:space="preserve"> </v>
      </c>
      <c r="I488" s="471">
        <f t="shared" si="29"/>
        <v>1483</v>
      </c>
      <c r="J488" s="471">
        <f t="shared" si="30"/>
        <v>0</v>
      </c>
      <c r="K488">
        <f t="shared" si="31"/>
        <v>1</v>
      </c>
    </row>
    <row r="489" spans="1:11" x14ac:dyDescent="0.2">
      <c r="A489" s="472">
        <v>1484</v>
      </c>
      <c r="B489" s="475" t="s">
        <v>410</v>
      </c>
      <c r="C489" s="472"/>
      <c r="D489" s="472"/>
      <c r="E489" s="274"/>
      <c r="F489" s="274"/>
      <c r="G489" s="476"/>
      <c r="H489" s="483" t="str">
        <f t="shared" si="28"/>
        <v xml:space="preserve">Did Not Shoot </v>
      </c>
      <c r="I489" s="471">
        <f t="shared" si="29"/>
        <v>1484</v>
      </c>
      <c r="J489" s="471">
        <f t="shared" si="30"/>
        <v>0</v>
      </c>
      <c r="K489">
        <f t="shared" si="31"/>
        <v>14</v>
      </c>
    </row>
    <row r="490" spans="1:11" x14ac:dyDescent="0.2">
      <c r="A490" s="472">
        <v>1485</v>
      </c>
      <c r="B490" s="472"/>
      <c r="C490" s="472"/>
      <c r="D490" s="472"/>
      <c r="E490" s="274"/>
      <c r="F490" s="274"/>
      <c r="G490" s="476"/>
      <c r="H490" s="483" t="str">
        <f t="shared" si="28"/>
        <v xml:space="preserve"> </v>
      </c>
      <c r="I490" s="471">
        <f t="shared" si="29"/>
        <v>1485</v>
      </c>
      <c r="J490" s="471">
        <f t="shared" si="30"/>
        <v>0</v>
      </c>
      <c r="K490">
        <f t="shared" si="31"/>
        <v>1</v>
      </c>
    </row>
    <row r="491" spans="1:11" x14ac:dyDescent="0.2">
      <c r="A491" s="472">
        <v>1486</v>
      </c>
      <c r="B491" s="472"/>
      <c r="C491" s="472"/>
      <c r="D491" s="472"/>
      <c r="E491" s="274"/>
      <c r="F491" s="274"/>
      <c r="G491" s="476"/>
      <c r="H491" s="483" t="str">
        <f t="shared" si="28"/>
        <v xml:space="preserve"> </v>
      </c>
      <c r="I491" s="471">
        <f t="shared" si="29"/>
        <v>1486</v>
      </c>
      <c r="J491" s="471">
        <f t="shared" si="30"/>
        <v>0</v>
      </c>
      <c r="K491">
        <f t="shared" si="31"/>
        <v>1</v>
      </c>
    </row>
    <row r="492" spans="1:11" x14ac:dyDescent="0.2">
      <c r="A492" s="472">
        <v>1487</v>
      </c>
      <c r="B492" s="472"/>
      <c r="C492" s="472"/>
      <c r="D492" s="472"/>
      <c r="E492" s="274"/>
      <c r="F492" s="274"/>
      <c r="G492" s="476"/>
      <c r="H492" s="483" t="str">
        <f t="shared" si="28"/>
        <v xml:space="preserve"> </v>
      </c>
      <c r="I492" s="471">
        <f t="shared" si="29"/>
        <v>1487</v>
      </c>
      <c r="J492" s="471">
        <f t="shared" si="30"/>
        <v>0</v>
      </c>
      <c r="K492">
        <f t="shared" si="31"/>
        <v>1</v>
      </c>
    </row>
    <row r="493" spans="1:11" x14ac:dyDescent="0.2">
      <c r="A493" s="472">
        <v>1488</v>
      </c>
      <c r="B493" s="472"/>
      <c r="C493" s="472"/>
      <c r="D493" s="472"/>
      <c r="E493" s="274"/>
      <c r="F493" s="274"/>
      <c r="G493" s="476"/>
      <c r="H493" s="483" t="str">
        <f t="shared" si="28"/>
        <v xml:space="preserve"> </v>
      </c>
      <c r="I493" s="471">
        <f t="shared" si="29"/>
        <v>1488</v>
      </c>
      <c r="J493" s="471">
        <f t="shared" si="30"/>
        <v>0</v>
      </c>
      <c r="K493">
        <f t="shared" si="31"/>
        <v>1</v>
      </c>
    </row>
    <row r="494" spans="1:11" x14ac:dyDescent="0.2">
      <c r="A494" s="472">
        <v>1489</v>
      </c>
      <c r="B494" s="472"/>
      <c r="C494" s="472"/>
      <c r="D494" s="472"/>
      <c r="E494" s="274"/>
      <c r="F494" s="274"/>
      <c r="G494" s="476"/>
      <c r="H494" s="483" t="str">
        <f t="shared" si="28"/>
        <v xml:space="preserve"> </v>
      </c>
      <c r="I494" s="471">
        <f t="shared" si="29"/>
        <v>1489</v>
      </c>
      <c r="J494" s="471">
        <f t="shared" si="30"/>
        <v>0</v>
      </c>
      <c r="K494">
        <f t="shared" si="31"/>
        <v>1</v>
      </c>
    </row>
    <row r="495" spans="1:11" x14ac:dyDescent="0.2">
      <c r="A495" s="472">
        <v>1490</v>
      </c>
      <c r="B495" s="472"/>
      <c r="C495" s="472"/>
      <c r="D495" s="472"/>
      <c r="E495" s="274"/>
      <c r="F495" s="274"/>
      <c r="G495" s="476"/>
      <c r="H495" s="483" t="str">
        <f t="shared" si="28"/>
        <v xml:space="preserve"> </v>
      </c>
      <c r="I495" s="471">
        <f t="shared" si="29"/>
        <v>1490</v>
      </c>
      <c r="J495" s="471">
        <f t="shared" si="30"/>
        <v>0</v>
      </c>
      <c r="K495">
        <f t="shared" si="31"/>
        <v>1</v>
      </c>
    </row>
    <row r="496" spans="1:11" x14ac:dyDescent="0.2">
      <c r="A496" s="472">
        <v>1491</v>
      </c>
      <c r="B496" s="472"/>
      <c r="C496" s="472"/>
      <c r="D496" s="472"/>
      <c r="E496" s="274"/>
      <c r="F496" s="274"/>
      <c r="G496" s="476"/>
      <c r="H496" s="483" t="str">
        <f t="shared" si="28"/>
        <v xml:space="preserve"> </v>
      </c>
      <c r="I496" s="471">
        <f t="shared" si="29"/>
        <v>1491</v>
      </c>
      <c r="J496" s="471">
        <f t="shared" si="30"/>
        <v>0</v>
      </c>
      <c r="K496">
        <f t="shared" si="31"/>
        <v>1</v>
      </c>
    </row>
    <row r="497" spans="1:11" x14ac:dyDescent="0.2">
      <c r="A497" s="472">
        <v>1492</v>
      </c>
      <c r="B497" s="472"/>
      <c r="C497" s="472"/>
      <c r="D497" s="472"/>
      <c r="E497" s="274"/>
      <c r="F497" s="274"/>
      <c r="G497" s="476"/>
      <c r="H497" s="483" t="str">
        <f t="shared" si="28"/>
        <v xml:space="preserve"> </v>
      </c>
      <c r="I497" s="471">
        <f t="shared" si="29"/>
        <v>1492</v>
      </c>
      <c r="J497" s="471">
        <f t="shared" si="30"/>
        <v>0</v>
      </c>
      <c r="K497">
        <f t="shared" si="31"/>
        <v>1</v>
      </c>
    </row>
    <row r="498" spans="1:11" x14ac:dyDescent="0.2">
      <c r="A498" s="472">
        <v>1493</v>
      </c>
      <c r="B498" s="472"/>
      <c r="C498" s="472"/>
      <c r="D498" s="472"/>
      <c r="E498" s="274"/>
      <c r="F498" s="274"/>
      <c r="G498" s="476"/>
      <c r="H498" s="483" t="str">
        <f t="shared" si="28"/>
        <v xml:space="preserve"> </v>
      </c>
      <c r="I498" s="471">
        <f t="shared" si="29"/>
        <v>1493</v>
      </c>
      <c r="J498" s="471">
        <f t="shared" si="30"/>
        <v>0</v>
      </c>
      <c r="K498">
        <f t="shared" si="31"/>
        <v>1</v>
      </c>
    </row>
    <row r="499" spans="1:11" x14ac:dyDescent="0.2">
      <c r="A499" s="472">
        <v>1494</v>
      </c>
      <c r="B499" s="472"/>
      <c r="C499" s="472"/>
      <c r="D499" s="472"/>
      <c r="E499" s="274"/>
      <c r="F499" s="274"/>
      <c r="G499" s="476"/>
      <c r="H499" s="483" t="str">
        <f t="shared" si="28"/>
        <v xml:space="preserve"> </v>
      </c>
      <c r="I499" s="471">
        <f t="shared" si="29"/>
        <v>1494</v>
      </c>
      <c r="J499" s="471">
        <f t="shared" si="30"/>
        <v>0</v>
      </c>
      <c r="K499">
        <f t="shared" si="31"/>
        <v>1</v>
      </c>
    </row>
    <row r="500" spans="1:11" x14ac:dyDescent="0.2">
      <c r="A500" s="472">
        <v>1495</v>
      </c>
      <c r="B500" s="472"/>
      <c r="C500" s="472"/>
      <c r="D500" s="472"/>
      <c r="E500" s="274"/>
      <c r="F500" s="274"/>
      <c r="G500" s="476"/>
      <c r="H500" s="483" t="str">
        <f t="shared" si="28"/>
        <v xml:space="preserve"> </v>
      </c>
      <c r="I500" s="471">
        <f t="shared" si="29"/>
        <v>1495</v>
      </c>
      <c r="J500" s="471">
        <f t="shared" si="30"/>
        <v>0</v>
      </c>
      <c r="K500">
        <f t="shared" si="31"/>
        <v>1</v>
      </c>
    </row>
    <row r="501" spans="1:11" x14ac:dyDescent="0.2">
      <c r="A501" s="472">
        <v>1496</v>
      </c>
      <c r="B501" s="472"/>
      <c r="C501" s="472"/>
      <c r="D501" s="472"/>
      <c r="E501" s="274"/>
      <c r="F501" s="274"/>
      <c r="G501" s="476"/>
      <c r="H501" s="483" t="str">
        <f t="shared" si="28"/>
        <v xml:space="preserve"> </v>
      </c>
      <c r="I501" s="471">
        <f t="shared" si="29"/>
        <v>1496</v>
      </c>
      <c r="J501" s="471">
        <f t="shared" si="30"/>
        <v>0</v>
      </c>
      <c r="K501">
        <f t="shared" si="31"/>
        <v>1</v>
      </c>
    </row>
    <row r="502" spans="1:11" x14ac:dyDescent="0.2">
      <c r="A502" s="472">
        <v>1497</v>
      </c>
      <c r="B502" s="472"/>
      <c r="C502" s="472"/>
      <c r="D502" s="472"/>
      <c r="E502" s="274"/>
      <c r="F502" s="274"/>
      <c r="G502" s="476"/>
      <c r="H502" s="483" t="str">
        <f t="shared" si="28"/>
        <v xml:space="preserve"> </v>
      </c>
      <c r="I502" s="471">
        <f t="shared" si="29"/>
        <v>1497</v>
      </c>
      <c r="J502" s="471">
        <f t="shared" si="30"/>
        <v>0</v>
      </c>
      <c r="K502">
        <f t="shared" si="31"/>
        <v>1</v>
      </c>
    </row>
    <row r="503" spans="1:11" x14ac:dyDescent="0.2">
      <c r="A503" s="472">
        <v>1498</v>
      </c>
      <c r="B503" s="472"/>
      <c r="C503" s="472"/>
      <c r="D503" s="472"/>
      <c r="E503" s="274"/>
      <c r="F503" s="274"/>
      <c r="G503" s="476"/>
      <c r="H503" s="483" t="str">
        <f t="shared" si="28"/>
        <v xml:space="preserve"> </v>
      </c>
      <c r="I503" s="471">
        <f t="shared" si="29"/>
        <v>1498</v>
      </c>
      <c r="J503" s="471">
        <f t="shared" si="30"/>
        <v>0</v>
      </c>
      <c r="K503">
        <f t="shared" si="31"/>
        <v>1</v>
      </c>
    </row>
    <row r="504" spans="1:11" x14ac:dyDescent="0.2">
      <c r="A504" s="472">
        <v>1499</v>
      </c>
      <c r="B504" s="472"/>
      <c r="C504" s="472"/>
      <c r="D504" s="472"/>
      <c r="E504" s="274"/>
      <c r="F504" s="274"/>
      <c r="G504" s="476"/>
      <c r="H504" s="483" t="str">
        <f t="shared" si="28"/>
        <v xml:space="preserve"> </v>
      </c>
      <c r="I504" s="471">
        <f t="shared" si="29"/>
        <v>1499</v>
      </c>
      <c r="J504" s="471">
        <f t="shared" si="30"/>
        <v>0</v>
      </c>
      <c r="K504">
        <f t="shared" si="31"/>
        <v>1</v>
      </c>
    </row>
    <row r="505" spans="1:11" x14ac:dyDescent="0.2">
      <c r="A505" s="472">
        <v>1500</v>
      </c>
      <c r="B505" s="472"/>
      <c r="C505" s="472"/>
      <c r="D505" s="472"/>
      <c r="E505" s="274"/>
      <c r="F505" s="274"/>
      <c r="G505" s="476"/>
      <c r="H505" s="483" t="str">
        <f t="shared" si="28"/>
        <v xml:space="preserve"> </v>
      </c>
      <c r="I505" s="471">
        <f t="shared" si="29"/>
        <v>1500</v>
      </c>
      <c r="J505" s="471">
        <f t="shared" si="30"/>
        <v>0</v>
      </c>
      <c r="K505">
        <f t="shared" si="31"/>
        <v>1</v>
      </c>
    </row>
    <row r="506" spans="1:11" x14ac:dyDescent="0.2">
      <c r="A506" s="472">
        <v>1501</v>
      </c>
      <c r="B506" s="472"/>
      <c r="C506" s="472"/>
      <c r="D506" s="472"/>
      <c r="E506" s="274"/>
      <c r="F506" s="274"/>
      <c r="G506" s="476"/>
      <c r="H506" s="483" t="str">
        <f t="shared" si="28"/>
        <v xml:space="preserve"> </v>
      </c>
      <c r="I506" s="471">
        <f t="shared" si="29"/>
        <v>1501</v>
      </c>
      <c r="J506" s="471">
        <f t="shared" si="30"/>
        <v>0</v>
      </c>
      <c r="K506">
        <f t="shared" si="31"/>
        <v>1</v>
      </c>
    </row>
    <row r="507" spans="1:11" x14ac:dyDescent="0.2">
      <c r="A507" s="472">
        <v>1502</v>
      </c>
      <c r="B507" s="472"/>
      <c r="C507" s="472"/>
      <c r="D507" s="472"/>
      <c r="E507" s="274"/>
      <c r="F507" s="274"/>
      <c r="G507" s="476"/>
      <c r="H507" s="483" t="str">
        <f t="shared" si="28"/>
        <v xml:space="preserve"> </v>
      </c>
      <c r="I507" s="471">
        <f t="shared" si="29"/>
        <v>1502</v>
      </c>
      <c r="J507" s="471">
        <f t="shared" si="30"/>
        <v>0</v>
      </c>
      <c r="K507">
        <f t="shared" si="31"/>
        <v>1</v>
      </c>
    </row>
    <row r="508" spans="1:11" x14ac:dyDescent="0.2">
      <c r="A508" s="472">
        <v>1503</v>
      </c>
      <c r="B508" s="472"/>
      <c r="C508" s="472"/>
      <c r="D508" s="472"/>
      <c r="E508" s="274"/>
      <c r="F508" s="274"/>
      <c r="G508" s="476"/>
      <c r="H508" s="483" t="str">
        <f t="shared" si="28"/>
        <v xml:space="preserve"> </v>
      </c>
      <c r="I508" s="471">
        <f t="shared" si="29"/>
        <v>1503</v>
      </c>
      <c r="J508" s="471">
        <f t="shared" si="30"/>
        <v>0</v>
      </c>
      <c r="K508">
        <f t="shared" si="31"/>
        <v>1</v>
      </c>
    </row>
    <row r="509" spans="1:11" x14ac:dyDescent="0.2">
      <c r="A509" s="472">
        <v>1504</v>
      </c>
      <c r="B509" s="472"/>
      <c r="C509" s="472"/>
      <c r="D509" s="472"/>
      <c r="E509" s="274"/>
      <c r="F509" s="274"/>
      <c r="G509" s="476"/>
      <c r="H509" s="483" t="str">
        <f t="shared" si="28"/>
        <v xml:space="preserve"> </v>
      </c>
      <c r="I509" s="471">
        <f t="shared" si="29"/>
        <v>1504</v>
      </c>
      <c r="J509" s="471">
        <f t="shared" si="30"/>
        <v>0</v>
      </c>
      <c r="K509">
        <f t="shared" si="31"/>
        <v>1</v>
      </c>
    </row>
    <row r="510" spans="1:11" x14ac:dyDescent="0.2">
      <c r="A510" s="472">
        <v>1505</v>
      </c>
      <c r="B510" s="472"/>
      <c r="C510" s="472"/>
      <c r="D510" s="472"/>
      <c r="E510" s="274"/>
      <c r="F510" s="274"/>
      <c r="G510" s="476"/>
      <c r="H510" s="483" t="str">
        <f t="shared" si="28"/>
        <v xml:space="preserve"> </v>
      </c>
      <c r="I510" s="471">
        <f t="shared" si="29"/>
        <v>1505</v>
      </c>
      <c r="J510" s="471">
        <f t="shared" si="30"/>
        <v>0</v>
      </c>
      <c r="K510">
        <f t="shared" si="31"/>
        <v>1</v>
      </c>
    </row>
    <row r="511" spans="1:11" x14ac:dyDescent="0.2">
      <c r="A511" s="472">
        <v>1506</v>
      </c>
      <c r="B511" s="472"/>
      <c r="C511" s="472"/>
      <c r="D511" s="472"/>
      <c r="E511" s="274"/>
      <c r="F511" s="274"/>
      <c r="G511" s="476"/>
      <c r="H511" s="483" t="str">
        <f t="shared" si="28"/>
        <v xml:space="preserve"> </v>
      </c>
      <c r="I511" s="471">
        <f t="shared" si="29"/>
        <v>1506</v>
      </c>
      <c r="J511" s="471">
        <f t="shared" si="30"/>
        <v>0</v>
      </c>
      <c r="K511">
        <f t="shared" si="31"/>
        <v>1</v>
      </c>
    </row>
    <row r="512" spans="1:11" x14ac:dyDescent="0.2">
      <c r="A512" s="472">
        <v>1507</v>
      </c>
      <c r="B512" s="472"/>
      <c r="C512" s="472"/>
      <c r="D512" s="472"/>
      <c r="E512" s="274"/>
      <c r="F512" s="274"/>
      <c r="G512" s="476"/>
      <c r="H512" s="483" t="str">
        <f t="shared" si="28"/>
        <v xml:space="preserve"> </v>
      </c>
      <c r="I512" s="471">
        <f t="shared" si="29"/>
        <v>1507</v>
      </c>
      <c r="J512" s="471">
        <f t="shared" si="30"/>
        <v>0</v>
      </c>
      <c r="K512">
        <f t="shared" si="31"/>
        <v>1</v>
      </c>
    </row>
    <row r="513" spans="1:11" x14ac:dyDescent="0.2">
      <c r="A513" s="472">
        <v>1508</v>
      </c>
      <c r="B513" s="472"/>
      <c r="C513" s="472"/>
      <c r="D513" s="472"/>
      <c r="E513" s="274"/>
      <c r="F513" s="274"/>
      <c r="G513" s="476"/>
      <c r="H513" s="483" t="str">
        <f t="shared" si="28"/>
        <v xml:space="preserve"> </v>
      </c>
      <c r="I513" s="471">
        <f t="shared" si="29"/>
        <v>1508</v>
      </c>
      <c r="J513" s="471">
        <f t="shared" si="30"/>
        <v>0</v>
      </c>
      <c r="K513">
        <f t="shared" si="31"/>
        <v>1</v>
      </c>
    </row>
    <row r="514" spans="1:11" x14ac:dyDescent="0.2">
      <c r="A514" s="472">
        <v>1509</v>
      </c>
      <c r="B514" s="472"/>
      <c r="C514" s="472"/>
      <c r="D514" s="472"/>
      <c r="E514" s="274"/>
      <c r="F514" s="274"/>
      <c r="G514" s="476"/>
      <c r="H514" s="483" t="str">
        <f t="shared" si="28"/>
        <v xml:space="preserve"> </v>
      </c>
      <c r="I514" s="471">
        <f t="shared" si="29"/>
        <v>1509</v>
      </c>
      <c r="J514" s="471">
        <f t="shared" si="30"/>
        <v>0</v>
      </c>
      <c r="K514">
        <f t="shared" si="31"/>
        <v>1</v>
      </c>
    </row>
    <row r="515" spans="1:11" x14ac:dyDescent="0.2">
      <c r="A515" s="472">
        <v>1510</v>
      </c>
      <c r="B515" s="472"/>
      <c r="C515" s="472"/>
      <c r="D515" s="472"/>
      <c r="E515" s="274"/>
      <c r="F515" s="274"/>
      <c r="G515" s="476"/>
      <c r="H515" s="483" t="str">
        <f t="shared" si="28"/>
        <v xml:space="preserve"> </v>
      </c>
      <c r="I515" s="471">
        <f t="shared" si="29"/>
        <v>1510</v>
      </c>
      <c r="J515" s="471">
        <f t="shared" si="30"/>
        <v>0</v>
      </c>
      <c r="K515">
        <f t="shared" si="31"/>
        <v>1</v>
      </c>
    </row>
    <row r="516" spans="1:11" x14ac:dyDescent="0.2">
      <c r="A516" s="472">
        <v>1511</v>
      </c>
      <c r="B516" s="472"/>
      <c r="C516" s="472"/>
      <c r="D516" s="472"/>
      <c r="E516" s="274"/>
      <c r="F516" s="274"/>
      <c r="G516" s="476"/>
      <c r="H516" s="483" t="str">
        <f t="shared" si="28"/>
        <v xml:space="preserve"> </v>
      </c>
      <c r="I516" s="471">
        <f t="shared" si="29"/>
        <v>1511</v>
      </c>
      <c r="J516" s="471">
        <f t="shared" si="30"/>
        <v>0</v>
      </c>
      <c r="K516">
        <f t="shared" si="31"/>
        <v>1</v>
      </c>
    </row>
    <row r="517" spans="1:11" x14ac:dyDescent="0.2">
      <c r="A517" s="472">
        <v>1512</v>
      </c>
      <c r="B517" s="472"/>
      <c r="C517" s="472"/>
      <c r="D517" s="472"/>
      <c r="E517" s="274"/>
      <c r="F517" s="274"/>
      <c r="G517" s="476"/>
      <c r="H517" s="483" t="str">
        <f t="shared" si="28"/>
        <v xml:space="preserve"> </v>
      </c>
      <c r="I517" s="471">
        <f t="shared" si="29"/>
        <v>1512</v>
      </c>
      <c r="J517" s="471">
        <f t="shared" si="30"/>
        <v>0</v>
      </c>
      <c r="K517">
        <f t="shared" si="31"/>
        <v>1</v>
      </c>
    </row>
    <row r="518" spans="1:11" x14ac:dyDescent="0.2">
      <c r="A518" s="472">
        <v>1513</v>
      </c>
      <c r="B518" s="475" t="s">
        <v>410</v>
      </c>
      <c r="C518" s="472"/>
      <c r="D518" s="472"/>
      <c r="E518" s="274"/>
      <c r="F518" s="274"/>
      <c r="G518" s="476"/>
      <c r="H518" s="483" t="str">
        <f t="shared" ref="H518:H581" si="32">CONCATENATE(B518," ",C518)</f>
        <v xml:space="preserve">Did Not Shoot </v>
      </c>
      <c r="I518" s="471">
        <f t="shared" ref="I518:I581" si="33">A518</f>
        <v>1513</v>
      </c>
      <c r="J518" s="471">
        <f t="shared" ref="J518:J581" si="34">G518</f>
        <v>0</v>
      </c>
      <c r="K518">
        <f t="shared" ref="K518:K581" si="35">LEN(H518)</f>
        <v>14</v>
      </c>
    </row>
    <row r="519" spans="1:11" x14ac:dyDescent="0.2">
      <c r="A519" s="472">
        <v>1514</v>
      </c>
      <c r="B519" s="472"/>
      <c r="C519" s="472"/>
      <c r="D519" s="472"/>
      <c r="E519" s="274"/>
      <c r="F519" s="274"/>
      <c r="G519" s="476"/>
      <c r="H519" s="483" t="str">
        <f t="shared" si="32"/>
        <v xml:space="preserve"> </v>
      </c>
      <c r="I519" s="471">
        <f t="shared" si="33"/>
        <v>1514</v>
      </c>
      <c r="J519" s="471">
        <f t="shared" si="34"/>
        <v>0</v>
      </c>
      <c r="K519">
        <f t="shared" si="35"/>
        <v>1</v>
      </c>
    </row>
    <row r="520" spans="1:11" x14ac:dyDescent="0.2">
      <c r="A520" s="472">
        <v>1515</v>
      </c>
      <c r="B520" s="472"/>
      <c r="C520" s="472"/>
      <c r="D520" s="472"/>
      <c r="E520" s="274"/>
      <c r="F520" s="274"/>
      <c r="G520" s="476"/>
      <c r="H520" s="483" t="str">
        <f t="shared" si="32"/>
        <v xml:space="preserve"> </v>
      </c>
      <c r="I520" s="471">
        <f t="shared" si="33"/>
        <v>1515</v>
      </c>
      <c r="J520" s="471">
        <f t="shared" si="34"/>
        <v>0</v>
      </c>
      <c r="K520">
        <f t="shared" si="35"/>
        <v>1</v>
      </c>
    </row>
    <row r="521" spans="1:11" x14ac:dyDescent="0.2">
      <c r="A521" s="472">
        <v>1516</v>
      </c>
      <c r="B521" s="472"/>
      <c r="C521" s="472"/>
      <c r="D521" s="472"/>
      <c r="E521" s="274"/>
      <c r="F521" s="274"/>
      <c r="G521" s="476"/>
      <c r="H521" s="483" t="str">
        <f t="shared" si="32"/>
        <v xml:space="preserve"> </v>
      </c>
      <c r="I521" s="471">
        <f t="shared" si="33"/>
        <v>1516</v>
      </c>
      <c r="J521" s="471">
        <f t="shared" si="34"/>
        <v>0</v>
      </c>
      <c r="K521">
        <f t="shared" si="35"/>
        <v>1</v>
      </c>
    </row>
    <row r="522" spans="1:11" x14ac:dyDescent="0.2">
      <c r="A522" s="472">
        <v>1517</v>
      </c>
      <c r="B522" s="472"/>
      <c r="C522" s="472"/>
      <c r="D522" s="472"/>
      <c r="E522" s="274"/>
      <c r="F522" s="274"/>
      <c r="G522" s="476"/>
      <c r="H522" s="483" t="str">
        <f t="shared" si="32"/>
        <v xml:space="preserve"> </v>
      </c>
      <c r="I522" s="471">
        <f t="shared" si="33"/>
        <v>1517</v>
      </c>
      <c r="J522" s="471">
        <f t="shared" si="34"/>
        <v>0</v>
      </c>
      <c r="K522">
        <f t="shared" si="35"/>
        <v>1</v>
      </c>
    </row>
    <row r="523" spans="1:11" x14ac:dyDescent="0.2">
      <c r="A523" s="472">
        <v>1518</v>
      </c>
      <c r="B523" s="472"/>
      <c r="C523" s="472"/>
      <c r="D523" s="472"/>
      <c r="E523" s="274"/>
      <c r="F523" s="274"/>
      <c r="G523" s="476"/>
      <c r="H523" s="483" t="str">
        <f t="shared" si="32"/>
        <v xml:space="preserve"> </v>
      </c>
      <c r="I523" s="471">
        <f t="shared" si="33"/>
        <v>1518</v>
      </c>
      <c r="J523" s="471">
        <f t="shared" si="34"/>
        <v>0</v>
      </c>
      <c r="K523">
        <f t="shared" si="35"/>
        <v>1</v>
      </c>
    </row>
    <row r="524" spans="1:11" x14ac:dyDescent="0.2">
      <c r="A524" s="472">
        <v>1519</v>
      </c>
      <c r="B524" s="475" t="s">
        <v>410</v>
      </c>
      <c r="C524" s="472"/>
      <c r="D524" s="472"/>
      <c r="E524" s="274"/>
      <c r="F524" s="274"/>
      <c r="G524" s="476"/>
      <c r="H524" s="483" t="str">
        <f t="shared" si="32"/>
        <v xml:space="preserve">Did Not Shoot </v>
      </c>
      <c r="I524" s="471">
        <f t="shared" si="33"/>
        <v>1519</v>
      </c>
      <c r="J524" s="471">
        <f t="shared" si="34"/>
        <v>0</v>
      </c>
      <c r="K524">
        <f t="shared" si="35"/>
        <v>14</v>
      </c>
    </row>
    <row r="525" spans="1:11" x14ac:dyDescent="0.2">
      <c r="A525" s="472">
        <v>1520</v>
      </c>
      <c r="B525" s="472"/>
      <c r="C525" s="472"/>
      <c r="D525" s="472"/>
      <c r="E525" s="274"/>
      <c r="F525" s="274"/>
      <c r="G525" s="476"/>
      <c r="H525" s="483" t="str">
        <f t="shared" si="32"/>
        <v xml:space="preserve"> </v>
      </c>
      <c r="I525" s="471">
        <f t="shared" si="33"/>
        <v>1520</v>
      </c>
      <c r="J525" s="471">
        <f t="shared" si="34"/>
        <v>0</v>
      </c>
      <c r="K525">
        <f t="shared" si="35"/>
        <v>1</v>
      </c>
    </row>
    <row r="526" spans="1:11" x14ac:dyDescent="0.2">
      <c r="A526" s="472">
        <v>1521</v>
      </c>
      <c r="B526" s="472"/>
      <c r="C526" s="472"/>
      <c r="D526" s="472"/>
      <c r="E526" s="274"/>
      <c r="F526" s="274"/>
      <c r="G526" s="476"/>
      <c r="H526" s="483" t="str">
        <f t="shared" si="32"/>
        <v xml:space="preserve"> </v>
      </c>
      <c r="I526" s="471">
        <f t="shared" si="33"/>
        <v>1521</v>
      </c>
      <c r="J526" s="471">
        <f t="shared" si="34"/>
        <v>0</v>
      </c>
      <c r="K526">
        <f t="shared" si="35"/>
        <v>1</v>
      </c>
    </row>
    <row r="527" spans="1:11" x14ac:dyDescent="0.2">
      <c r="A527" s="472">
        <v>1522</v>
      </c>
      <c r="B527" s="472"/>
      <c r="C527" s="472"/>
      <c r="D527" s="472"/>
      <c r="E527" s="274"/>
      <c r="F527" s="274"/>
      <c r="G527" s="476"/>
      <c r="H527" s="483" t="str">
        <f t="shared" si="32"/>
        <v xml:space="preserve"> </v>
      </c>
      <c r="I527" s="471">
        <f t="shared" si="33"/>
        <v>1522</v>
      </c>
      <c r="J527" s="471">
        <f t="shared" si="34"/>
        <v>0</v>
      </c>
      <c r="K527">
        <f t="shared" si="35"/>
        <v>1</v>
      </c>
    </row>
    <row r="528" spans="1:11" x14ac:dyDescent="0.2">
      <c r="A528" s="472">
        <v>1523</v>
      </c>
      <c r="B528" s="472"/>
      <c r="C528" s="472"/>
      <c r="D528" s="472"/>
      <c r="E528" s="274"/>
      <c r="F528" s="274"/>
      <c r="G528" s="476"/>
      <c r="H528" s="483" t="str">
        <f t="shared" si="32"/>
        <v xml:space="preserve"> </v>
      </c>
      <c r="I528" s="471">
        <f t="shared" si="33"/>
        <v>1523</v>
      </c>
      <c r="J528" s="471">
        <f t="shared" si="34"/>
        <v>0</v>
      </c>
      <c r="K528">
        <f t="shared" si="35"/>
        <v>1</v>
      </c>
    </row>
    <row r="529" spans="1:11" x14ac:dyDescent="0.2">
      <c r="A529" s="472">
        <v>1524</v>
      </c>
      <c r="B529" s="472"/>
      <c r="C529" s="472"/>
      <c r="D529" s="472"/>
      <c r="E529" s="274"/>
      <c r="F529" s="274"/>
      <c r="G529" s="476"/>
      <c r="H529" s="483" t="str">
        <f t="shared" si="32"/>
        <v xml:space="preserve"> </v>
      </c>
      <c r="I529" s="471">
        <f t="shared" si="33"/>
        <v>1524</v>
      </c>
      <c r="J529" s="471">
        <f t="shared" si="34"/>
        <v>0</v>
      </c>
      <c r="K529">
        <f t="shared" si="35"/>
        <v>1</v>
      </c>
    </row>
    <row r="530" spans="1:11" x14ac:dyDescent="0.2">
      <c r="A530" s="472">
        <v>1525</v>
      </c>
      <c r="B530" s="472"/>
      <c r="C530" s="472"/>
      <c r="D530" s="472"/>
      <c r="E530" s="274"/>
      <c r="F530" s="274"/>
      <c r="G530" s="476"/>
      <c r="H530" s="483" t="str">
        <f t="shared" si="32"/>
        <v xml:space="preserve"> </v>
      </c>
      <c r="I530" s="471">
        <f t="shared" si="33"/>
        <v>1525</v>
      </c>
      <c r="J530" s="471">
        <f t="shared" si="34"/>
        <v>0</v>
      </c>
      <c r="K530">
        <f t="shared" si="35"/>
        <v>1</v>
      </c>
    </row>
    <row r="531" spans="1:11" x14ac:dyDescent="0.2">
      <c r="A531" s="472">
        <v>1526</v>
      </c>
      <c r="B531" s="475" t="s">
        <v>410</v>
      </c>
      <c r="C531" s="472"/>
      <c r="D531" s="472"/>
      <c r="E531" s="274"/>
      <c r="F531" s="274"/>
      <c r="G531" s="476"/>
      <c r="H531" s="483" t="str">
        <f t="shared" si="32"/>
        <v xml:space="preserve">Did Not Shoot </v>
      </c>
      <c r="I531" s="471">
        <f t="shared" si="33"/>
        <v>1526</v>
      </c>
      <c r="J531" s="471">
        <f t="shared" si="34"/>
        <v>0</v>
      </c>
      <c r="K531">
        <f t="shared" si="35"/>
        <v>14</v>
      </c>
    </row>
    <row r="532" spans="1:11" x14ac:dyDescent="0.2">
      <c r="A532" s="472">
        <v>1527</v>
      </c>
      <c r="B532" s="472"/>
      <c r="C532" s="472"/>
      <c r="D532" s="472"/>
      <c r="E532" s="274"/>
      <c r="F532" s="274"/>
      <c r="G532" s="476"/>
      <c r="H532" s="483" t="str">
        <f t="shared" si="32"/>
        <v xml:space="preserve"> </v>
      </c>
      <c r="I532" s="471">
        <f t="shared" si="33"/>
        <v>1527</v>
      </c>
      <c r="J532" s="471">
        <f t="shared" si="34"/>
        <v>0</v>
      </c>
      <c r="K532">
        <f t="shared" si="35"/>
        <v>1</v>
      </c>
    </row>
    <row r="533" spans="1:11" x14ac:dyDescent="0.2">
      <c r="A533" s="472">
        <v>1528</v>
      </c>
      <c r="B533" s="472"/>
      <c r="C533" s="472"/>
      <c r="D533" s="472"/>
      <c r="E533" s="274"/>
      <c r="F533" s="274"/>
      <c r="G533" s="476"/>
      <c r="H533" s="483" t="str">
        <f t="shared" si="32"/>
        <v xml:space="preserve"> </v>
      </c>
      <c r="I533" s="471">
        <f t="shared" si="33"/>
        <v>1528</v>
      </c>
      <c r="J533" s="471">
        <f t="shared" si="34"/>
        <v>0</v>
      </c>
      <c r="K533">
        <f t="shared" si="35"/>
        <v>1</v>
      </c>
    </row>
    <row r="534" spans="1:11" x14ac:dyDescent="0.2">
      <c r="A534" s="472">
        <v>1529</v>
      </c>
      <c r="B534" s="472"/>
      <c r="C534" s="472"/>
      <c r="D534" s="472"/>
      <c r="E534" s="274"/>
      <c r="F534" s="274"/>
      <c r="G534" s="476"/>
      <c r="H534" s="483" t="str">
        <f t="shared" si="32"/>
        <v xml:space="preserve"> </v>
      </c>
      <c r="I534" s="471">
        <f t="shared" si="33"/>
        <v>1529</v>
      </c>
      <c r="J534" s="471">
        <f t="shared" si="34"/>
        <v>0</v>
      </c>
      <c r="K534">
        <f t="shared" si="35"/>
        <v>1</v>
      </c>
    </row>
    <row r="535" spans="1:11" x14ac:dyDescent="0.2">
      <c r="A535" s="472">
        <v>1530</v>
      </c>
      <c r="B535" s="472"/>
      <c r="C535" s="472"/>
      <c r="D535" s="472"/>
      <c r="E535" s="274"/>
      <c r="F535" s="274"/>
      <c r="G535" s="476"/>
      <c r="H535" s="483" t="str">
        <f t="shared" si="32"/>
        <v xml:space="preserve"> </v>
      </c>
      <c r="I535" s="471">
        <f t="shared" si="33"/>
        <v>1530</v>
      </c>
      <c r="J535" s="471">
        <f t="shared" si="34"/>
        <v>0</v>
      </c>
      <c r="K535">
        <f t="shared" si="35"/>
        <v>1</v>
      </c>
    </row>
    <row r="536" spans="1:11" x14ac:dyDescent="0.2">
      <c r="A536" s="472">
        <v>1531</v>
      </c>
      <c r="B536" s="472"/>
      <c r="C536" s="472"/>
      <c r="D536" s="472"/>
      <c r="E536" s="274"/>
      <c r="F536" s="274"/>
      <c r="G536" s="476"/>
      <c r="H536" s="483" t="str">
        <f t="shared" si="32"/>
        <v xml:space="preserve"> </v>
      </c>
      <c r="I536" s="471">
        <f t="shared" si="33"/>
        <v>1531</v>
      </c>
      <c r="J536" s="471">
        <f t="shared" si="34"/>
        <v>0</v>
      </c>
      <c r="K536">
        <f t="shared" si="35"/>
        <v>1</v>
      </c>
    </row>
    <row r="537" spans="1:11" x14ac:dyDescent="0.2">
      <c r="A537" s="472">
        <v>1532</v>
      </c>
      <c r="B537" s="472"/>
      <c r="C537" s="472"/>
      <c r="D537" s="472"/>
      <c r="E537" s="274"/>
      <c r="F537" s="274"/>
      <c r="G537" s="476"/>
      <c r="H537" s="483" t="str">
        <f t="shared" si="32"/>
        <v xml:space="preserve"> </v>
      </c>
      <c r="I537" s="471">
        <f t="shared" si="33"/>
        <v>1532</v>
      </c>
      <c r="J537" s="471">
        <f t="shared" si="34"/>
        <v>0</v>
      </c>
      <c r="K537">
        <f t="shared" si="35"/>
        <v>1</v>
      </c>
    </row>
    <row r="538" spans="1:11" x14ac:dyDescent="0.2">
      <c r="A538" s="472">
        <v>1533</v>
      </c>
      <c r="B538" s="472"/>
      <c r="C538" s="472"/>
      <c r="D538" s="472"/>
      <c r="E538" s="274"/>
      <c r="F538" s="274"/>
      <c r="G538" s="476"/>
      <c r="H538" s="483" t="str">
        <f t="shared" si="32"/>
        <v xml:space="preserve"> </v>
      </c>
      <c r="I538" s="471">
        <f t="shared" si="33"/>
        <v>1533</v>
      </c>
      <c r="J538" s="471">
        <f t="shared" si="34"/>
        <v>0</v>
      </c>
      <c r="K538">
        <f t="shared" si="35"/>
        <v>1</v>
      </c>
    </row>
    <row r="539" spans="1:11" x14ac:dyDescent="0.2">
      <c r="A539" s="472">
        <v>1534</v>
      </c>
      <c r="B539" s="475" t="s">
        <v>410</v>
      </c>
      <c r="C539" s="472"/>
      <c r="D539" s="472"/>
      <c r="E539" s="274"/>
      <c r="F539" s="274"/>
      <c r="G539" s="476"/>
      <c r="H539" s="483" t="str">
        <f t="shared" si="32"/>
        <v xml:space="preserve">Did Not Shoot </v>
      </c>
      <c r="I539" s="471">
        <f t="shared" si="33"/>
        <v>1534</v>
      </c>
      <c r="J539" s="471">
        <f t="shared" si="34"/>
        <v>0</v>
      </c>
      <c r="K539">
        <f t="shared" si="35"/>
        <v>14</v>
      </c>
    </row>
    <row r="540" spans="1:11" x14ac:dyDescent="0.2">
      <c r="A540" s="472">
        <v>1535</v>
      </c>
      <c r="B540" s="472"/>
      <c r="C540" s="472"/>
      <c r="D540" s="472"/>
      <c r="E540" s="274"/>
      <c r="F540" s="274"/>
      <c r="G540" s="476"/>
      <c r="H540" s="483" t="str">
        <f t="shared" si="32"/>
        <v xml:space="preserve"> </v>
      </c>
      <c r="I540" s="471">
        <f t="shared" si="33"/>
        <v>1535</v>
      </c>
      <c r="J540" s="471">
        <f t="shared" si="34"/>
        <v>0</v>
      </c>
      <c r="K540">
        <f t="shared" si="35"/>
        <v>1</v>
      </c>
    </row>
    <row r="541" spans="1:11" x14ac:dyDescent="0.2">
      <c r="A541" s="472">
        <v>1536</v>
      </c>
      <c r="B541" s="472"/>
      <c r="C541" s="472"/>
      <c r="D541" s="472"/>
      <c r="E541" s="274"/>
      <c r="F541" s="274"/>
      <c r="G541" s="476"/>
      <c r="H541" s="483" t="str">
        <f t="shared" si="32"/>
        <v xml:space="preserve"> </v>
      </c>
      <c r="I541" s="471">
        <f t="shared" si="33"/>
        <v>1536</v>
      </c>
      <c r="J541" s="471">
        <f t="shared" si="34"/>
        <v>0</v>
      </c>
      <c r="K541">
        <f t="shared" si="35"/>
        <v>1</v>
      </c>
    </row>
    <row r="542" spans="1:11" x14ac:dyDescent="0.2">
      <c r="A542" s="472">
        <v>1537</v>
      </c>
      <c r="B542" s="472"/>
      <c r="C542" s="472"/>
      <c r="D542" s="472"/>
      <c r="E542" s="274"/>
      <c r="F542" s="274"/>
      <c r="G542" s="476"/>
      <c r="H542" s="483" t="str">
        <f t="shared" si="32"/>
        <v xml:space="preserve"> </v>
      </c>
      <c r="I542" s="471">
        <f t="shared" si="33"/>
        <v>1537</v>
      </c>
      <c r="J542" s="471">
        <f t="shared" si="34"/>
        <v>0</v>
      </c>
      <c r="K542">
        <f t="shared" si="35"/>
        <v>1</v>
      </c>
    </row>
    <row r="543" spans="1:11" x14ac:dyDescent="0.2">
      <c r="A543" s="472">
        <v>1538</v>
      </c>
      <c r="B543" s="472"/>
      <c r="C543" s="472"/>
      <c r="D543" s="472"/>
      <c r="E543" s="274"/>
      <c r="F543" s="274"/>
      <c r="G543" s="476"/>
      <c r="H543" s="483" t="str">
        <f t="shared" si="32"/>
        <v xml:space="preserve"> </v>
      </c>
      <c r="I543" s="471">
        <f t="shared" si="33"/>
        <v>1538</v>
      </c>
      <c r="J543" s="471">
        <f t="shared" si="34"/>
        <v>0</v>
      </c>
      <c r="K543">
        <f t="shared" si="35"/>
        <v>1</v>
      </c>
    </row>
    <row r="544" spans="1:11" x14ac:dyDescent="0.2">
      <c r="A544" s="472">
        <v>1539</v>
      </c>
      <c r="B544" s="472"/>
      <c r="C544" s="472"/>
      <c r="D544" s="472"/>
      <c r="E544" s="274"/>
      <c r="F544" s="274"/>
      <c r="G544" s="476"/>
      <c r="H544" s="483" t="str">
        <f t="shared" si="32"/>
        <v xml:space="preserve"> </v>
      </c>
      <c r="I544" s="471">
        <f t="shared" si="33"/>
        <v>1539</v>
      </c>
      <c r="J544" s="471">
        <f t="shared" si="34"/>
        <v>0</v>
      </c>
      <c r="K544">
        <f t="shared" si="35"/>
        <v>1</v>
      </c>
    </row>
    <row r="545" spans="1:11" x14ac:dyDescent="0.2">
      <c r="A545" s="472">
        <v>1540</v>
      </c>
      <c r="B545" s="472"/>
      <c r="C545" s="472"/>
      <c r="D545" s="472"/>
      <c r="E545" s="274"/>
      <c r="F545" s="274"/>
      <c r="G545" s="476"/>
      <c r="H545" s="483" t="str">
        <f t="shared" si="32"/>
        <v xml:space="preserve"> </v>
      </c>
      <c r="I545" s="471">
        <f t="shared" si="33"/>
        <v>1540</v>
      </c>
      <c r="J545" s="471">
        <f t="shared" si="34"/>
        <v>0</v>
      </c>
      <c r="K545">
        <f t="shared" si="35"/>
        <v>1</v>
      </c>
    </row>
    <row r="546" spans="1:11" x14ac:dyDescent="0.2">
      <c r="A546" s="472">
        <v>1541</v>
      </c>
      <c r="B546" s="472"/>
      <c r="C546" s="472"/>
      <c r="D546" s="472"/>
      <c r="E546" s="274"/>
      <c r="F546" s="274"/>
      <c r="G546" s="476"/>
      <c r="H546" s="483" t="str">
        <f t="shared" si="32"/>
        <v xml:space="preserve"> </v>
      </c>
      <c r="I546" s="471">
        <f t="shared" si="33"/>
        <v>1541</v>
      </c>
      <c r="J546" s="471">
        <f t="shared" si="34"/>
        <v>0</v>
      </c>
      <c r="K546">
        <f t="shared" si="35"/>
        <v>1</v>
      </c>
    </row>
    <row r="547" spans="1:11" x14ac:dyDescent="0.2">
      <c r="A547" s="472">
        <v>1542</v>
      </c>
      <c r="B547" s="472"/>
      <c r="C547" s="472"/>
      <c r="D547" s="472"/>
      <c r="E547" s="274"/>
      <c r="F547" s="274"/>
      <c r="G547" s="476"/>
      <c r="H547" s="483" t="str">
        <f t="shared" si="32"/>
        <v xml:space="preserve"> </v>
      </c>
      <c r="I547" s="471">
        <f t="shared" si="33"/>
        <v>1542</v>
      </c>
      <c r="J547" s="471">
        <f t="shared" si="34"/>
        <v>0</v>
      </c>
      <c r="K547">
        <f t="shared" si="35"/>
        <v>1</v>
      </c>
    </row>
    <row r="548" spans="1:11" x14ac:dyDescent="0.2">
      <c r="A548" s="472">
        <v>1543</v>
      </c>
      <c r="B548" s="472"/>
      <c r="C548" s="472"/>
      <c r="D548" s="472"/>
      <c r="E548" s="274"/>
      <c r="F548" s="274"/>
      <c r="G548" s="476"/>
      <c r="H548" s="483" t="str">
        <f t="shared" si="32"/>
        <v xml:space="preserve"> </v>
      </c>
      <c r="I548" s="471">
        <f t="shared" si="33"/>
        <v>1543</v>
      </c>
      <c r="J548" s="471">
        <f t="shared" si="34"/>
        <v>0</v>
      </c>
      <c r="K548">
        <f t="shared" si="35"/>
        <v>1</v>
      </c>
    </row>
    <row r="549" spans="1:11" x14ac:dyDescent="0.2">
      <c r="A549" s="472">
        <v>1544</v>
      </c>
      <c r="B549" s="472"/>
      <c r="C549" s="472"/>
      <c r="D549" s="472"/>
      <c r="E549" s="274"/>
      <c r="F549" s="274"/>
      <c r="G549" s="476"/>
      <c r="H549" s="483" t="str">
        <f t="shared" si="32"/>
        <v xml:space="preserve"> </v>
      </c>
      <c r="I549" s="471">
        <f t="shared" si="33"/>
        <v>1544</v>
      </c>
      <c r="J549" s="471">
        <f t="shared" si="34"/>
        <v>0</v>
      </c>
      <c r="K549">
        <f t="shared" si="35"/>
        <v>1</v>
      </c>
    </row>
    <row r="550" spans="1:11" x14ac:dyDescent="0.2">
      <c r="A550" s="472">
        <v>1545</v>
      </c>
      <c r="B550" s="472"/>
      <c r="C550" s="472"/>
      <c r="D550" s="472"/>
      <c r="E550" s="274"/>
      <c r="F550" s="274"/>
      <c r="G550" s="476"/>
      <c r="H550" s="483" t="str">
        <f t="shared" si="32"/>
        <v xml:space="preserve"> </v>
      </c>
      <c r="I550" s="471">
        <f t="shared" si="33"/>
        <v>1545</v>
      </c>
      <c r="J550" s="471">
        <f t="shared" si="34"/>
        <v>0</v>
      </c>
      <c r="K550">
        <f t="shared" si="35"/>
        <v>1</v>
      </c>
    </row>
    <row r="551" spans="1:11" x14ac:dyDescent="0.2">
      <c r="A551" s="472">
        <v>1546</v>
      </c>
      <c r="B551" s="472"/>
      <c r="C551" s="472"/>
      <c r="D551" s="472"/>
      <c r="E551" s="274"/>
      <c r="F551" s="274"/>
      <c r="G551" s="476"/>
      <c r="H551" s="483" t="str">
        <f t="shared" si="32"/>
        <v xml:space="preserve"> </v>
      </c>
      <c r="I551" s="471">
        <f t="shared" si="33"/>
        <v>1546</v>
      </c>
      <c r="J551" s="471">
        <f t="shared" si="34"/>
        <v>0</v>
      </c>
      <c r="K551">
        <f t="shared" si="35"/>
        <v>1</v>
      </c>
    </row>
    <row r="552" spans="1:11" x14ac:dyDescent="0.2">
      <c r="A552" s="472">
        <v>1547</v>
      </c>
      <c r="B552" s="472"/>
      <c r="C552" s="472"/>
      <c r="D552" s="472"/>
      <c r="E552" s="274"/>
      <c r="F552" s="274"/>
      <c r="G552" s="476"/>
      <c r="H552" s="483" t="str">
        <f t="shared" si="32"/>
        <v xml:space="preserve"> </v>
      </c>
      <c r="I552" s="471">
        <f t="shared" si="33"/>
        <v>1547</v>
      </c>
      <c r="J552" s="471">
        <f t="shared" si="34"/>
        <v>0</v>
      </c>
      <c r="K552">
        <f t="shared" si="35"/>
        <v>1</v>
      </c>
    </row>
    <row r="553" spans="1:11" x14ac:dyDescent="0.2">
      <c r="A553" s="472">
        <v>1548</v>
      </c>
      <c r="B553" s="472"/>
      <c r="C553" s="472"/>
      <c r="D553" s="472"/>
      <c r="E553" s="274"/>
      <c r="F553" s="274"/>
      <c r="G553" s="476"/>
      <c r="H553" s="483" t="str">
        <f t="shared" si="32"/>
        <v xml:space="preserve"> </v>
      </c>
      <c r="I553" s="471">
        <f t="shared" si="33"/>
        <v>1548</v>
      </c>
      <c r="J553" s="471">
        <f t="shared" si="34"/>
        <v>0</v>
      </c>
      <c r="K553">
        <f t="shared" si="35"/>
        <v>1</v>
      </c>
    </row>
    <row r="554" spans="1:11" x14ac:dyDescent="0.2">
      <c r="A554" s="472">
        <v>1549</v>
      </c>
      <c r="B554" s="472"/>
      <c r="C554" s="472"/>
      <c r="D554" s="472"/>
      <c r="E554" s="274"/>
      <c r="F554" s="274"/>
      <c r="G554" s="476"/>
      <c r="H554" s="483" t="str">
        <f t="shared" si="32"/>
        <v xml:space="preserve"> </v>
      </c>
      <c r="I554" s="471">
        <f t="shared" si="33"/>
        <v>1549</v>
      </c>
      <c r="J554" s="471">
        <f t="shared" si="34"/>
        <v>0</v>
      </c>
      <c r="K554">
        <f t="shared" si="35"/>
        <v>1</v>
      </c>
    </row>
    <row r="555" spans="1:11" x14ac:dyDescent="0.2">
      <c r="A555" s="472">
        <v>1550</v>
      </c>
      <c r="B555" s="472"/>
      <c r="C555" s="472"/>
      <c r="D555" s="472"/>
      <c r="E555" s="274"/>
      <c r="F555" s="274"/>
      <c r="G555" s="476"/>
      <c r="H555" s="483" t="str">
        <f t="shared" si="32"/>
        <v xml:space="preserve"> </v>
      </c>
      <c r="I555" s="471">
        <f t="shared" si="33"/>
        <v>1550</v>
      </c>
      <c r="J555" s="471">
        <f t="shared" si="34"/>
        <v>0</v>
      </c>
      <c r="K555">
        <f t="shared" si="35"/>
        <v>1</v>
      </c>
    </row>
    <row r="556" spans="1:11" x14ac:dyDescent="0.2">
      <c r="A556" s="472">
        <v>1551</v>
      </c>
      <c r="B556" s="472"/>
      <c r="C556" s="472"/>
      <c r="D556" s="472"/>
      <c r="E556" s="274"/>
      <c r="F556" s="274"/>
      <c r="G556" s="476"/>
      <c r="H556" s="483" t="str">
        <f t="shared" si="32"/>
        <v xml:space="preserve"> </v>
      </c>
      <c r="I556" s="471">
        <f t="shared" si="33"/>
        <v>1551</v>
      </c>
      <c r="J556" s="471">
        <f t="shared" si="34"/>
        <v>0</v>
      </c>
      <c r="K556">
        <f t="shared" si="35"/>
        <v>1</v>
      </c>
    </row>
    <row r="557" spans="1:11" x14ac:dyDescent="0.2">
      <c r="A557" s="472">
        <v>1552</v>
      </c>
      <c r="B557" s="472"/>
      <c r="C557" s="472"/>
      <c r="D557" s="472"/>
      <c r="E557" s="274"/>
      <c r="F557" s="274"/>
      <c r="G557" s="476"/>
      <c r="H557" s="483" t="str">
        <f t="shared" si="32"/>
        <v xml:space="preserve"> </v>
      </c>
      <c r="I557" s="471">
        <f t="shared" si="33"/>
        <v>1552</v>
      </c>
      <c r="J557" s="471">
        <f t="shared" si="34"/>
        <v>0</v>
      </c>
      <c r="K557">
        <f t="shared" si="35"/>
        <v>1</v>
      </c>
    </row>
    <row r="558" spans="1:11" x14ac:dyDescent="0.2">
      <c r="A558" s="472">
        <v>1553</v>
      </c>
      <c r="B558" s="472"/>
      <c r="C558" s="472"/>
      <c r="D558" s="472"/>
      <c r="E558" s="274"/>
      <c r="F558" s="274"/>
      <c r="G558" s="476"/>
      <c r="H558" s="483" t="str">
        <f t="shared" si="32"/>
        <v xml:space="preserve"> </v>
      </c>
      <c r="I558" s="471">
        <f t="shared" si="33"/>
        <v>1553</v>
      </c>
      <c r="J558" s="471">
        <f t="shared" si="34"/>
        <v>0</v>
      </c>
      <c r="K558">
        <f t="shared" si="35"/>
        <v>1</v>
      </c>
    </row>
    <row r="559" spans="1:11" x14ac:dyDescent="0.2">
      <c r="A559" s="472">
        <v>1554</v>
      </c>
      <c r="B559" s="472"/>
      <c r="C559" s="472"/>
      <c r="D559" s="472"/>
      <c r="E559" s="274"/>
      <c r="F559" s="274"/>
      <c r="G559" s="476"/>
      <c r="H559" s="483" t="str">
        <f t="shared" si="32"/>
        <v xml:space="preserve"> </v>
      </c>
      <c r="I559" s="471">
        <f t="shared" si="33"/>
        <v>1554</v>
      </c>
      <c r="J559" s="471">
        <f t="shared" si="34"/>
        <v>0</v>
      </c>
      <c r="K559">
        <f t="shared" si="35"/>
        <v>1</v>
      </c>
    </row>
    <row r="560" spans="1:11" x14ac:dyDescent="0.2">
      <c r="A560" s="472">
        <v>1555</v>
      </c>
      <c r="B560" s="472"/>
      <c r="C560" s="472"/>
      <c r="D560" s="472"/>
      <c r="E560" s="274"/>
      <c r="F560" s="274"/>
      <c r="G560" s="476"/>
      <c r="H560" s="483" t="str">
        <f t="shared" si="32"/>
        <v xml:space="preserve"> </v>
      </c>
      <c r="I560" s="471">
        <f t="shared" si="33"/>
        <v>1555</v>
      </c>
      <c r="J560" s="471">
        <f t="shared" si="34"/>
        <v>0</v>
      </c>
      <c r="K560">
        <f t="shared" si="35"/>
        <v>1</v>
      </c>
    </row>
    <row r="561" spans="1:11" x14ac:dyDescent="0.2">
      <c r="A561" s="472">
        <v>1556</v>
      </c>
      <c r="B561" s="472"/>
      <c r="C561" s="472"/>
      <c r="D561" s="472"/>
      <c r="E561" s="274"/>
      <c r="F561" s="274"/>
      <c r="G561" s="476"/>
      <c r="H561" s="483" t="str">
        <f t="shared" si="32"/>
        <v xml:space="preserve"> </v>
      </c>
      <c r="I561" s="471">
        <f t="shared" si="33"/>
        <v>1556</v>
      </c>
      <c r="J561" s="471">
        <f t="shared" si="34"/>
        <v>0</v>
      </c>
      <c r="K561">
        <f t="shared" si="35"/>
        <v>1</v>
      </c>
    </row>
    <row r="562" spans="1:11" x14ac:dyDescent="0.2">
      <c r="A562" s="472">
        <v>1557</v>
      </c>
      <c r="B562" s="472"/>
      <c r="C562" s="472"/>
      <c r="D562" s="472"/>
      <c r="E562" s="274"/>
      <c r="F562" s="274"/>
      <c r="G562" s="476"/>
      <c r="H562" s="483" t="str">
        <f t="shared" si="32"/>
        <v xml:space="preserve"> </v>
      </c>
      <c r="I562" s="471">
        <f t="shared" si="33"/>
        <v>1557</v>
      </c>
      <c r="J562" s="471">
        <f t="shared" si="34"/>
        <v>0</v>
      </c>
      <c r="K562">
        <f t="shared" si="35"/>
        <v>1</v>
      </c>
    </row>
    <row r="563" spans="1:11" x14ac:dyDescent="0.2">
      <c r="A563" s="472">
        <v>1558</v>
      </c>
      <c r="B563" s="472"/>
      <c r="C563" s="472"/>
      <c r="D563" s="472"/>
      <c r="E563" s="274"/>
      <c r="F563" s="274"/>
      <c r="G563" s="476"/>
      <c r="H563" s="483" t="str">
        <f t="shared" si="32"/>
        <v xml:space="preserve"> </v>
      </c>
      <c r="I563" s="471">
        <f t="shared" si="33"/>
        <v>1558</v>
      </c>
      <c r="J563" s="471">
        <f t="shared" si="34"/>
        <v>0</v>
      </c>
      <c r="K563">
        <f t="shared" si="35"/>
        <v>1</v>
      </c>
    </row>
    <row r="564" spans="1:11" x14ac:dyDescent="0.2">
      <c r="A564" s="472">
        <v>1559</v>
      </c>
      <c r="B564" s="475" t="s">
        <v>410</v>
      </c>
      <c r="C564" s="472"/>
      <c r="D564" s="472"/>
      <c r="E564" s="274"/>
      <c r="F564" s="274"/>
      <c r="G564" s="476"/>
      <c r="H564" s="483" t="str">
        <f t="shared" si="32"/>
        <v xml:space="preserve">Did Not Shoot </v>
      </c>
      <c r="I564" s="471">
        <f t="shared" si="33"/>
        <v>1559</v>
      </c>
      <c r="J564" s="471">
        <f t="shared" si="34"/>
        <v>0</v>
      </c>
      <c r="K564">
        <f t="shared" si="35"/>
        <v>14</v>
      </c>
    </row>
    <row r="565" spans="1:11" x14ac:dyDescent="0.2">
      <c r="A565" s="472">
        <v>1560</v>
      </c>
      <c r="B565" s="472"/>
      <c r="C565" s="472"/>
      <c r="D565" s="472"/>
      <c r="E565" s="274"/>
      <c r="F565" s="274"/>
      <c r="G565" s="476"/>
      <c r="H565" s="483" t="str">
        <f t="shared" si="32"/>
        <v xml:space="preserve"> </v>
      </c>
      <c r="I565" s="471">
        <f t="shared" si="33"/>
        <v>1560</v>
      </c>
      <c r="J565" s="471">
        <f t="shared" si="34"/>
        <v>0</v>
      </c>
      <c r="K565">
        <f t="shared" si="35"/>
        <v>1</v>
      </c>
    </row>
    <row r="566" spans="1:11" x14ac:dyDescent="0.2">
      <c r="A566" s="472">
        <v>1561</v>
      </c>
      <c r="B566" s="472"/>
      <c r="C566" s="472"/>
      <c r="D566" s="472"/>
      <c r="E566" s="274"/>
      <c r="F566" s="274"/>
      <c r="G566" s="476"/>
      <c r="H566" s="483" t="str">
        <f t="shared" si="32"/>
        <v xml:space="preserve"> </v>
      </c>
      <c r="I566" s="471">
        <f t="shared" si="33"/>
        <v>1561</v>
      </c>
      <c r="J566" s="471">
        <f t="shared" si="34"/>
        <v>0</v>
      </c>
      <c r="K566">
        <f t="shared" si="35"/>
        <v>1</v>
      </c>
    </row>
    <row r="567" spans="1:11" x14ac:dyDescent="0.2">
      <c r="A567" s="472">
        <v>1562</v>
      </c>
      <c r="B567" s="472"/>
      <c r="C567" s="472"/>
      <c r="D567" s="472"/>
      <c r="E567" s="274"/>
      <c r="F567" s="274"/>
      <c r="G567" s="476"/>
      <c r="H567" s="483" t="str">
        <f t="shared" si="32"/>
        <v xml:space="preserve"> </v>
      </c>
      <c r="I567" s="471">
        <f t="shared" si="33"/>
        <v>1562</v>
      </c>
      <c r="J567" s="471">
        <f t="shared" si="34"/>
        <v>0</v>
      </c>
      <c r="K567">
        <f t="shared" si="35"/>
        <v>1</v>
      </c>
    </row>
    <row r="568" spans="1:11" x14ac:dyDescent="0.2">
      <c r="A568" s="472">
        <v>1563</v>
      </c>
      <c r="B568" s="472"/>
      <c r="C568" s="472"/>
      <c r="D568" s="472"/>
      <c r="E568" s="274"/>
      <c r="F568" s="274"/>
      <c r="G568" s="476"/>
      <c r="H568" s="483" t="str">
        <f t="shared" si="32"/>
        <v xml:space="preserve"> </v>
      </c>
      <c r="I568" s="471">
        <f t="shared" si="33"/>
        <v>1563</v>
      </c>
      <c r="J568" s="471">
        <f t="shared" si="34"/>
        <v>0</v>
      </c>
      <c r="K568">
        <f t="shared" si="35"/>
        <v>1</v>
      </c>
    </row>
    <row r="569" spans="1:11" x14ac:dyDescent="0.2">
      <c r="A569" s="472">
        <v>1564</v>
      </c>
      <c r="B569" s="472"/>
      <c r="C569" s="472"/>
      <c r="D569" s="472"/>
      <c r="E569" s="274"/>
      <c r="F569" s="274"/>
      <c r="G569" s="476"/>
      <c r="H569" s="483" t="str">
        <f t="shared" si="32"/>
        <v xml:space="preserve"> </v>
      </c>
      <c r="I569" s="471">
        <f t="shared" si="33"/>
        <v>1564</v>
      </c>
      <c r="J569" s="471">
        <f t="shared" si="34"/>
        <v>0</v>
      </c>
      <c r="K569">
        <f t="shared" si="35"/>
        <v>1</v>
      </c>
    </row>
    <row r="570" spans="1:11" x14ac:dyDescent="0.2">
      <c r="A570" s="472">
        <v>1565</v>
      </c>
      <c r="B570" s="472"/>
      <c r="C570" s="472"/>
      <c r="D570" s="472"/>
      <c r="E570" s="274"/>
      <c r="F570" s="274"/>
      <c r="G570" s="476"/>
      <c r="H570" s="483" t="str">
        <f t="shared" si="32"/>
        <v xml:space="preserve"> </v>
      </c>
      <c r="I570" s="471">
        <f t="shared" si="33"/>
        <v>1565</v>
      </c>
      <c r="J570" s="471">
        <f t="shared" si="34"/>
        <v>0</v>
      </c>
      <c r="K570">
        <f t="shared" si="35"/>
        <v>1</v>
      </c>
    </row>
    <row r="571" spans="1:11" x14ac:dyDescent="0.2">
      <c r="A571" s="472">
        <v>1566</v>
      </c>
      <c r="B571" s="472"/>
      <c r="C571" s="472"/>
      <c r="D571" s="472"/>
      <c r="E571" s="274"/>
      <c r="F571" s="274"/>
      <c r="G571" s="476"/>
      <c r="H571" s="483" t="str">
        <f t="shared" si="32"/>
        <v xml:space="preserve"> </v>
      </c>
      <c r="I571" s="471">
        <f t="shared" si="33"/>
        <v>1566</v>
      </c>
      <c r="J571" s="471">
        <f t="shared" si="34"/>
        <v>0</v>
      </c>
      <c r="K571">
        <f t="shared" si="35"/>
        <v>1</v>
      </c>
    </row>
    <row r="572" spans="1:11" x14ac:dyDescent="0.2">
      <c r="A572" s="472">
        <v>1567</v>
      </c>
      <c r="B572" s="472"/>
      <c r="C572" s="472"/>
      <c r="D572" s="472"/>
      <c r="E572" s="274"/>
      <c r="F572" s="274"/>
      <c r="G572" s="476"/>
      <c r="H572" s="483" t="str">
        <f t="shared" si="32"/>
        <v xml:space="preserve"> </v>
      </c>
      <c r="I572" s="471">
        <f t="shared" si="33"/>
        <v>1567</v>
      </c>
      <c r="J572" s="471">
        <f t="shared" si="34"/>
        <v>0</v>
      </c>
      <c r="K572">
        <f t="shared" si="35"/>
        <v>1</v>
      </c>
    </row>
    <row r="573" spans="1:11" x14ac:dyDescent="0.2">
      <c r="A573" s="472">
        <v>1568</v>
      </c>
      <c r="B573" s="472"/>
      <c r="C573" s="472"/>
      <c r="D573" s="472"/>
      <c r="E573" s="274"/>
      <c r="F573" s="274"/>
      <c r="G573" s="476"/>
      <c r="H573" s="483" t="str">
        <f t="shared" si="32"/>
        <v xml:space="preserve"> </v>
      </c>
      <c r="I573" s="471">
        <f t="shared" si="33"/>
        <v>1568</v>
      </c>
      <c r="J573" s="471">
        <f t="shared" si="34"/>
        <v>0</v>
      </c>
      <c r="K573">
        <f t="shared" si="35"/>
        <v>1</v>
      </c>
    </row>
    <row r="574" spans="1:11" x14ac:dyDescent="0.2">
      <c r="A574" s="472">
        <v>1569</v>
      </c>
      <c r="B574" s="472"/>
      <c r="C574" s="472"/>
      <c r="D574" s="472"/>
      <c r="E574" s="274"/>
      <c r="F574" s="274"/>
      <c r="G574" s="476"/>
      <c r="H574" s="483" t="str">
        <f t="shared" si="32"/>
        <v xml:space="preserve"> </v>
      </c>
      <c r="I574" s="471">
        <f t="shared" si="33"/>
        <v>1569</v>
      </c>
      <c r="J574" s="471">
        <f t="shared" si="34"/>
        <v>0</v>
      </c>
      <c r="K574">
        <f t="shared" si="35"/>
        <v>1</v>
      </c>
    </row>
    <row r="575" spans="1:11" x14ac:dyDescent="0.2">
      <c r="A575" s="472">
        <v>1570</v>
      </c>
      <c r="B575" s="472"/>
      <c r="C575" s="472"/>
      <c r="D575" s="472"/>
      <c r="E575" s="274"/>
      <c r="F575" s="274"/>
      <c r="G575" s="476"/>
      <c r="H575" s="483" t="str">
        <f t="shared" si="32"/>
        <v xml:space="preserve"> </v>
      </c>
      <c r="I575" s="471">
        <f t="shared" si="33"/>
        <v>1570</v>
      </c>
      <c r="J575" s="471">
        <f t="shared" si="34"/>
        <v>0</v>
      </c>
      <c r="K575">
        <f t="shared" si="35"/>
        <v>1</v>
      </c>
    </row>
    <row r="576" spans="1:11" x14ac:dyDescent="0.2">
      <c r="A576" s="472">
        <v>1571</v>
      </c>
      <c r="B576" s="472"/>
      <c r="C576" s="472"/>
      <c r="D576" s="472"/>
      <c r="E576" s="274"/>
      <c r="F576" s="274"/>
      <c r="G576" s="476"/>
      <c r="H576" s="483" t="str">
        <f t="shared" si="32"/>
        <v xml:space="preserve"> </v>
      </c>
      <c r="I576" s="471">
        <f t="shared" si="33"/>
        <v>1571</v>
      </c>
      <c r="J576" s="471">
        <f t="shared" si="34"/>
        <v>0</v>
      </c>
      <c r="K576">
        <f t="shared" si="35"/>
        <v>1</v>
      </c>
    </row>
    <row r="577" spans="1:11" x14ac:dyDescent="0.2">
      <c r="A577" s="472">
        <v>1572</v>
      </c>
      <c r="B577" s="472"/>
      <c r="C577" s="472"/>
      <c r="D577" s="472"/>
      <c r="E577" s="274"/>
      <c r="F577" s="274"/>
      <c r="G577" s="476"/>
      <c r="H577" s="483" t="str">
        <f t="shared" si="32"/>
        <v xml:space="preserve"> </v>
      </c>
      <c r="I577" s="471">
        <f t="shared" si="33"/>
        <v>1572</v>
      </c>
      <c r="J577" s="471">
        <f t="shared" si="34"/>
        <v>0</v>
      </c>
      <c r="K577">
        <f t="shared" si="35"/>
        <v>1</v>
      </c>
    </row>
    <row r="578" spans="1:11" x14ac:dyDescent="0.2">
      <c r="A578" s="472">
        <v>1573</v>
      </c>
      <c r="B578" s="472"/>
      <c r="C578" s="472"/>
      <c r="D578" s="472"/>
      <c r="E578" s="274"/>
      <c r="F578" s="274"/>
      <c r="G578" s="476"/>
      <c r="H578" s="483" t="str">
        <f t="shared" si="32"/>
        <v xml:space="preserve"> </v>
      </c>
      <c r="I578" s="471">
        <f t="shared" si="33"/>
        <v>1573</v>
      </c>
      <c r="J578" s="471">
        <f t="shared" si="34"/>
        <v>0</v>
      </c>
      <c r="K578">
        <f t="shared" si="35"/>
        <v>1</v>
      </c>
    </row>
    <row r="579" spans="1:11" x14ac:dyDescent="0.2">
      <c r="A579" s="472">
        <v>1574</v>
      </c>
      <c r="B579" s="472"/>
      <c r="C579" s="472"/>
      <c r="D579" s="472"/>
      <c r="E579" s="274"/>
      <c r="F579" s="274"/>
      <c r="G579" s="476"/>
      <c r="H579" s="483" t="str">
        <f t="shared" si="32"/>
        <v xml:space="preserve"> </v>
      </c>
      <c r="I579" s="471">
        <f t="shared" si="33"/>
        <v>1574</v>
      </c>
      <c r="J579" s="471">
        <f t="shared" si="34"/>
        <v>0</v>
      </c>
      <c r="K579">
        <f t="shared" si="35"/>
        <v>1</v>
      </c>
    </row>
    <row r="580" spans="1:11" x14ac:dyDescent="0.2">
      <c r="A580" s="472">
        <v>1575</v>
      </c>
      <c r="B580" s="472"/>
      <c r="C580" s="472"/>
      <c r="D580" s="472"/>
      <c r="E580" s="274"/>
      <c r="F580" s="274"/>
      <c r="G580" s="476"/>
      <c r="H580" s="483" t="str">
        <f t="shared" si="32"/>
        <v xml:space="preserve"> </v>
      </c>
      <c r="I580" s="471">
        <f t="shared" si="33"/>
        <v>1575</v>
      </c>
      <c r="J580" s="471">
        <f t="shared" si="34"/>
        <v>0</v>
      </c>
      <c r="K580">
        <f t="shared" si="35"/>
        <v>1</v>
      </c>
    </row>
    <row r="581" spans="1:11" x14ac:dyDescent="0.2">
      <c r="A581" s="472">
        <v>1576</v>
      </c>
      <c r="B581" s="475" t="s">
        <v>410</v>
      </c>
      <c r="C581" s="472"/>
      <c r="D581" s="472"/>
      <c r="E581" s="274"/>
      <c r="F581" s="274"/>
      <c r="G581" s="476"/>
      <c r="H581" s="483" t="str">
        <f t="shared" si="32"/>
        <v xml:space="preserve">Did Not Shoot </v>
      </c>
      <c r="I581" s="471">
        <f t="shared" si="33"/>
        <v>1576</v>
      </c>
      <c r="J581" s="471">
        <f t="shared" si="34"/>
        <v>0</v>
      </c>
      <c r="K581">
        <f t="shared" si="35"/>
        <v>14</v>
      </c>
    </row>
    <row r="582" spans="1:11" x14ac:dyDescent="0.2">
      <c r="A582" s="472">
        <v>1577</v>
      </c>
      <c r="B582" s="472"/>
      <c r="C582" s="472"/>
      <c r="D582" s="472"/>
      <c r="E582" s="274"/>
      <c r="F582" s="274"/>
      <c r="G582" s="476"/>
      <c r="H582" s="483" t="str">
        <f t="shared" ref="H582:H645" si="36">CONCATENATE(B582," ",C582)</f>
        <v xml:space="preserve"> </v>
      </c>
      <c r="I582" s="471">
        <f t="shared" ref="I582:I645" si="37">A582</f>
        <v>1577</v>
      </c>
      <c r="J582" s="471">
        <f t="shared" ref="J582:J645" si="38">G582</f>
        <v>0</v>
      </c>
      <c r="K582">
        <f t="shared" ref="K582:K645" si="39">LEN(H582)</f>
        <v>1</v>
      </c>
    </row>
    <row r="583" spans="1:11" x14ac:dyDescent="0.2">
      <c r="A583" s="472">
        <v>1578</v>
      </c>
      <c r="B583" s="472"/>
      <c r="C583" s="472"/>
      <c r="D583" s="472"/>
      <c r="E583" s="274"/>
      <c r="F583" s="274"/>
      <c r="G583" s="476"/>
      <c r="H583" s="483" t="str">
        <f t="shared" si="36"/>
        <v xml:space="preserve"> </v>
      </c>
      <c r="I583" s="471">
        <f t="shared" si="37"/>
        <v>1578</v>
      </c>
      <c r="J583" s="471">
        <f t="shared" si="38"/>
        <v>0</v>
      </c>
      <c r="K583">
        <f t="shared" si="39"/>
        <v>1</v>
      </c>
    </row>
    <row r="584" spans="1:11" x14ac:dyDescent="0.2">
      <c r="A584" s="472">
        <v>1579</v>
      </c>
      <c r="B584" s="472"/>
      <c r="C584" s="472"/>
      <c r="D584" s="472"/>
      <c r="E584" s="274"/>
      <c r="F584" s="274"/>
      <c r="G584" s="476"/>
      <c r="H584" s="483" t="str">
        <f t="shared" si="36"/>
        <v xml:space="preserve"> </v>
      </c>
      <c r="I584" s="471">
        <f t="shared" si="37"/>
        <v>1579</v>
      </c>
      <c r="J584" s="471">
        <f t="shared" si="38"/>
        <v>0</v>
      </c>
      <c r="K584">
        <f t="shared" si="39"/>
        <v>1</v>
      </c>
    </row>
    <row r="585" spans="1:11" x14ac:dyDescent="0.2">
      <c r="A585" s="472">
        <v>1580</v>
      </c>
      <c r="B585" s="472"/>
      <c r="C585" s="472"/>
      <c r="D585" s="472"/>
      <c r="E585" s="274"/>
      <c r="F585" s="274"/>
      <c r="G585" s="476"/>
      <c r="H585" s="483" t="str">
        <f t="shared" si="36"/>
        <v xml:space="preserve"> </v>
      </c>
      <c r="I585" s="471">
        <f t="shared" si="37"/>
        <v>1580</v>
      </c>
      <c r="J585" s="471">
        <f t="shared" si="38"/>
        <v>0</v>
      </c>
      <c r="K585">
        <f t="shared" si="39"/>
        <v>1</v>
      </c>
    </row>
    <row r="586" spans="1:11" x14ac:dyDescent="0.2">
      <c r="A586" s="472">
        <v>1581</v>
      </c>
      <c r="B586" s="472"/>
      <c r="C586" s="472"/>
      <c r="D586" s="472"/>
      <c r="E586" s="274"/>
      <c r="F586" s="274"/>
      <c r="G586" s="476"/>
      <c r="H586" s="483" t="str">
        <f t="shared" si="36"/>
        <v xml:space="preserve"> </v>
      </c>
      <c r="I586" s="471">
        <f t="shared" si="37"/>
        <v>1581</v>
      </c>
      <c r="J586" s="471">
        <f t="shared" si="38"/>
        <v>0</v>
      </c>
      <c r="K586">
        <f t="shared" si="39"/>
        <v>1</v>
      </c>
    </row>
    <row r="587" spans="1:11" x14ac:dyDescent="0.2">
      <c r="A587" s="472">
        <v>1582</v>
      </c>
      <c r="B587" s="472"/>
      <c r="C587" s="472"/>
      <c r="D587" s="472"/>
      <c r="E587" s="274"/>
      <c r="F587" s="274"/>
      <c r="G587" s="476"/>
      <c r="H587" s="483" t="str">
        <f t="shared" si="36"/>
        <v xml:space="preserve"> </v>
      </c>
      <c r="I587" s="471">
        <f t="shared" si="37"/>
        <v>1582</v>
      </c>
      <c r="J587" s="471">
        <f t="shared" si="38"/>
        <v>0</v>
      </c>
      <c r="K587">
        <f t="shared" si="39"/>
        <v>1</v>
      </c>
    </row>
    <row r="588" spans="1:11" x14ac:dyDescent="0.2">
      <c r="A588" s="472">
        <v>1583</v>
      </c>
      <c r="B588" s="472"/>
      <c r="C588" s="472"/>
      <c r="D588" s="472"/>
      <c r="E588" s="274"/>
      <c r="F588" s="274"/>
      <c r="G588" s="476"/>
      <c r="H588" s="483" t="str">
        <f t="shared" si="36"/>
        <v xml:space="preserve"> </v>
      </c>
      <c r="I588" s="471">
        <f t="shared" si="37"/>
        <v>1583</v>
      </c>
      <c r="J588" s="471">
        <f t="shared" si="38"/>
        <v>0</v>
      </c>
      <c r="K588">
        <f t="shared" si="39"/>
        <v>1</v>
      </c>
    </row>
    <row r="589" spans="1:11" x14ac:dyDescent="0.2">
      <c r="A589" s="472">
        <v>1584</v>
      </c>
      <c r="B589" s="472"/>
      <c r="C589" s="472"/>
      <c r="D589" s="472"/>
      <c r="E589" s="274"/>
      <c r="F589" s="274"/>
      <c r="G589" s="476"/>
      <c r="H589" s="483" t="str">
        <f t="shared" si="36"/>
        <v xml:space="preserve"> </v>
      </c>
      <c r="I589" s="471">
        <f t="shared" si="37"/>
        <v>1584</v>
      </c>
      <c r="J589" s="471">
        <f t="shared" si="38"/>
        <v>0</v>
      </c>
      <c r="K589">
        <f t="shared" si="39"/>
        <v>1</v>
      </c>
    </row>
    <row r="590" spans="1:11" x14ac:dyDescent="0.2">
      <c r="A590" s="472">
        <v>1585</v>
      </c>
      <c r="B590" s="472"/>
      <c r="C590" s="472"/>
      <c r="D590" s="472"/>
      <c r="E590" s="274"/>
      <c r="F590" s="274"/>
      <c r="G590" s="476"/>
      <c r="H590" s="483" t="str">
        <f t="shared" si="36"/>
        <v xml:space="preserve"> </v>
      </c>
      <c r="I590" s="471">
        <f t="shared" si="37"/>
        <v>1585</v>
      </c>
      <c r="J590" s="471">
        <f t="shared" si="38"/>
        <v>0</v>
      </c>
      <c r="K590">
        <f t="shared" si="39"/>
        <v>1</v>
      </c>
    </row>
    <row r="591" spans="1:11" x14ac:dyDescent="0.2">
      <c r="A591" s="472">
        <v>1586</v>
      </c>
      <c r="B591" s="472"/>
      <c r="C591" s="472"/>
      <c r="D591" s="472"/>
      <c r="E591" s="274"/>
      <c r="F591" s="274"/>
      <c r="G591" s="476"/>
      <c r="H591" s="483" t="str">
        <f t="shared" si="36"/>
        <v xml:space="preserve"> </v>
      </c>
      <c r="I591" s="471">
        <f t="shared" si="37"/>
        <v>1586</v>
      </c>
      <c r="J591" s="471">
        <f t="shared" si="38"/>
        <v>0</v>
      </c>
      <c r="K591">
        <f t="shared" si="39"/>
        <v>1</v>
      </c>
    </row>
    <row r="592" spans="1:11" x14ac:dyDescent="0.2">
      <c r="A592" s="472">
        <v>1587</v>
      </c>
      <c r="B592" s="472"/>
      <c r="C592" s="472"/>
      <c r="D592" s="472"/>
      <c r="E592" s="274"/>
      <c r="F592" s="274"/>
      <c r="G592" s="476"/>
      <c r="H592" s="483" t="str">
        <f t="shared" si="36"/>
        <v xml:space="preserve"> </v>
      </c>
      <c r="I592" s="471">
        <f t="shared" si="37"/>
        <v>1587</v>
      </c>
      <c r="J592" s="471">
        <f t="shared" si="38"/>
        <v>0</v>
      </c>
      <c r="K592">
        <f t="shared" si="39"/>
        <v>1</v>
      </c>
    </row>
    <row r="593" spans="1:11" x14ac:dyDescent="0.2">
      <c r="A593" s="472">
        <v>1588</v>
      </c>
      <c r="B593" s="472"/>
      <c r="C593" s="472"/>
      <c r="D593" s="472"/>
      <c r="E593" s="274"/>
      <c r="F593" s="274"/>
      <c r="G593" s="476"/>
      <c r="H593" s="483" t="str">
        <f t="shared" si="36"/>
        <v xml:space="preserve"> </v>
      </c>
      <c r="I593" s="471">
        <f t="shared" si="37"/>
        <v>1588</v>
      </c>
      <c r="J593" s="471">
        <f t="shared" si="38"/>
        <v>0</v>
      </c>
      <c r="K593">
        <f t="shared" si="39"/>
        <v>1</v>
      </c>
    </row>
    <row r="594" spans="1:11" x14ac:dyDescent="0.2">
      <c r="A594" s="472">
        <v>1589</v>
      </c>
      <c r="B594" s="475" t="s">
        <v>410</v>
      </c>
      <c r="C594" s="472"/>
      <c r="D594" s="472"/>
      <c r="E594" s="274"/>
      <c r="F594" s="274"/>
      <c r="G594" s="476"/>
      <c r="H594" s="483" t="str">
        <f t="shared" si="36"/>
        <v xml:space="preserve">Did Not Shoot </v>
      </c>
      <c r="I594" s="471">
        <f t="shared" si="37"/>
        <v>1589</v>
      </c>
      <c r="J594" s="471">
        <f t="shared" si="38"/>
        <v>0</v>
      </c>
      <c r="K594">
        <f t="shared" si="39"/>
        <v>14</v>
      </c>
    </row>
    <row r="595" spans="1:11" x14ac:dyDescent="0.2">
      <c r="A595" s="472">
        <v>1590</v>
      </c>
      <c r="B595" s="472"/>
      <c r="C595" s="472"/>
      <c r="D595" s="472"/>
      <c r="E595" s="274"/>
      <c r="F595" s="274"/>
      <c r="G595" s="476"/>
      <c r="H595" s="483" t="str">
        <f t="shared" si="36"/>
        <v xml:space="preserve"> </v>
      </c>
      <c r="I595" s="471">
        <f t="shared" si="37"/>
        <v>1590</v>
      </c>
      <c r="J595" s="471">
        <f t="shared" si="38"/>
        <v>0</v>
      </c>
      <c r="K595">
        <f t="shared" si="39"/>
        <v>1</v>
      </c>
    </row>
    <row r="596" spans="1:11" x14ac:dyDescent="0.2">
      <c r="A596" s="472">
        <v>1591</v>
      </c>
      <c r="B596" s="472"/>
      <c r="C596" s="472"/>
      <c r="D596" s="472"/>
      <c r="E596" s="274"/>
      <c r="F596" s="274"/>
      <c r="G596" s="476"/>
      <c r="H596" s="483" t="str">
        <f t="shared" si="36"/>
        <v xml:space="preserve"> </v>
      </c>
      <c r="I596" s="471">
        <f t="shared" si="37"/>
        <v>1591</v>
      </c>
      <c r="J596" s="471">
        <f t="shared" si="38"/>
        <v>0</v>
      </c>
      <c r="K596">
        <f t="shared" si="39"/>
        <v>1</v>
      </c>
    </row>
    <row r="597" spans="1:11" x14ac:dyDescent="0.2">
      <c r="A597" s="472">
        <v>1592</v>
      </c>
      <c r="B597" s="472"/>
      <c r="C597" s="472"/>
      <c r="D597" s="472"/>
      <c r="E597" s="274"/>
      <c r="F597" s="274"/>
      <c r="G597" s="476"/>
      <c r="H597" s="483" t="str">
        <f t="shared" si="36"/>
        <v xml:space="preserve"> </v>
      </c>
      <c r="I597" s="471">
        <f t="shared" si="37"/>
        <v>1592</v>
      </c>
      <c r="J597" s="471">
        <f t="shared" si="38"/>
        <v>0</v>
      </c>
      <c r="K597">
        <f t="shared" si="39"/>
        <v>1</v>
      </c>
    </row>
    <row r="598" spans="1:11" x14ac:dyDescent="0.2">
      <c r="A598" s="472">
        <v>1593</v>
      </c>
      <c r="B598" s="472"/>
      <c r="C598" s="472"/>
      <c r="D598" s="472"/>
      <c r="E598" s="274"/>
      <c r="F598" s="274"/>
      <c r="G598" s="476"/>
      <c r="H598" s="483" t="str">
        <f t="shared" si="36"/>
        <v xml:space="preserve"> </v>
      </c>
      <c r="I598" s="471">
        <f t="shared" si="37"/>
        <v>1593</v>
      </c>
      <c r="J598" s="471">
        <f t="shared" si="38"/>
        <v>0</v>
      </c>
      <c r="K598">
        <f t="shared" si="39"/>
        <v>1</v>
      </c>
    </row>
    <row r="599" spans="1:11" x14ac:dyDescent="0.2">
      <c r="A599" s="472">
        <v>1594</v>
      </c>
      <c r="B599" s="472"/>
      <c r="C599" s="472"/>
      <c r="D599" s="472"/>
      <c r="E599" s="274"/>
      <c r="F599" s="274"/>
      <c r="G599" s="476"/>
      <c r="H599" s="483" t="str">
        <f t="shared" si="36"/>
        <v xml:space="preserve"> </v>
      </c>
      <c r="I599" s="471">
        <f t="shared" si="37"/>
        <v>1594</v>
      </c>
      <c r="J599" s="471">
        <f t="shared" si="38"/>
        <v>0</v>
      </c>
      <c r="K599">
        <f t="shared" si="39"/>
        <v>1</v>
      </c>
    </row>
    <row r="600" spans="1:11" x14ac:dyDescent="0.2">
      <c r="A600" s="472">
        <v>1595</v>
      </c>
      <c r="B600" s="472"/>
      <c r="C600" s="472"/>
      <c r="D600" s="472"/>
      <c r="E600" s="274"/>
      <c r="F600" s="274"/>
      <c r="G600" s="476"/>
      <c r="H600" s="483" t="str">
        <f t="shared" si="36"/>
        <v xml:space="preserve"> </v>
      </c>
      <c r="I600" s="471">
        <f t="shared" si="37"/>
        <v>1595</v>
      </c>
      <c r="J600" s="471">
        <f t="shared" si="38"/>
        <v>0</v>
      </c>
      <c r="K600">
        <f t="shared" si="39"/>
        <v>1</v>
      </c>
    </row>
    <row r="601" spans="1:11" x14ac:dyDescent="0.2">
      <c r="A601" s="472">
        <v>1596</v>
      </c>
      <c r="B601" s="472"/>
      <c r="C601" s="472"/>
      <c r="D601" s="472"/>
      <c r="E601" s="274"/>
      <c r="F601" s="274"/>
      <c r="G601" s="476"/>
      <c r="H601" s="483" t="str">
        <f t="shared" si="36"/>
        <v xml:space="preserve"> </v>
      </c>
      <c r="I601" s="471">
        <f t="shared" si="37"/>
        <v>1596</v>
      </c>
      <c r="J601" s="471">
        <f t="shared" si="38"/>
        <v>0</v>
      </c>
      <c r="K601">
        <f t="shared" si="39"/>
        <v>1</v>
      </c>
    </row>
    <row r="602" spans="1:11" x14ac:dyDescent="0.2">
      <c r="A602" s="472">
        <v>1597</v>
      </c>
      <c r="B602" s="472"/>
      <c r="C602" s="472"/>
      <c r="D602" s="472"/>
      <c r="E602" s="274"/>
      <c r="F602" s="274"/>
      <c r="G602" s="476"/>
      <c r="H602" s="483" t="str">
        <f t="shared" si="36"/>
        <v xml:space="preserve"> </v>
      </c>
      <c r="I602" s="471">
        <f t="shared" si="37"/>
        <v>1597</v>
      </c>
      <c r="J602" s="471">
        <f t="shared" si="38"/>
        <v>0</v>
      </c>
      <c r="K602">
        <f t="shared" si="39"/>
        <v>1</v>
      </c>
    </row>
    <row r="603" spans="1:11" x14ac:dyDescent="0.2">
      <c r="A603" s="472">
        <v>1598</v>
      </c>
      <c r="B603" s="472"/>
      <c r="C603" s="472"/>
      <c r="D603" s="472"/>
      <c r="E603" s="274"/>
      <c r="F603" s="274"/>
      <c r="G603" s="476"/>
      <c r="H603" s="483" t="str">
        <f t="shared" si="36"/>
        <v xml:space="preserve"> </v>
      </c>
      <c r="I603" s="471">
        <f t="shared" si="37"/>
        <v>1598</v>
      </c>
      <c r="J603" s="471">
        <f t="shared" si="38"/>
        <v>0</v>
      </c>
      <c r="K603">
        <f t="shared" si="39"/>
        <v>1</v>
      </c>
    </row>
    <row r="604" spans="1:11" x14ac:dyDescent="0.2">
      <c r="A604" s="472">
        <v>1599</v>
      </c>
      <c r="B604" s="472"/>
      <c r="C604" s="472"/>
      <c r="D604" s="472"/>
      <c r="E604" s="274"/>
      <c r="F604" s="274"/>
      <c r="G604" s="476"/>
      <c r="H604" s="483" t="str">
        <f t="shared" si="36"/>
        <v xml:space="preserve"> </v>
      </c>
      <c r="I604" s="471">
        <f t="shared" si="37"/>
        <v>1599</v>
      </c>
      <c r="J604" s="471">
        <f t="shared" si="38"/>
        <v>0</v>
      </c>
      <c r="K604">
        <f t="shared" si="39"/>
        <v>1</v>
      </c>
    </row>
    <row r="605" spans="1:11" x14ac:dyDescent="0.2">
      <c r="A605" s="472">
        <v>1600</v>
      </c>
      <c r="B605" s="472"/>
      <c r="C605" s="472"/>
      <c r="D605" s="472"/>
      <c r="E605" s="274"/>
      <c r="F605" s="274"/>
      <c r="G605" s="476"/>
      <c r="H605" s="483" t="str">
        <f t="shared" si="36"/>
        <v xml:space="preserve"> </v>
      </c>
      <c r="I605" s="471">
        <f t="shared" si="37"/>
        <v>1600</v>
      </c>
      <c r="J605" s="471">
        <f t="shared" si="38"/>
        <v>0</v>
      </c>
      <c r="K605">
        <f t="shared" si="39"/>
        <v>1</v>
      </c>
    </row>
    <row r="606" spans="1:11" x14ac:dyDescent="0.2">
      <c r="A606" s="472">
        <v>1601</v>
      </c>
      <c r="B606" s="472"/>
      <c r="C606" s="472"/>
      <c r="D606" s="472"/>
      <c r="E606" s="274"/>
      <c r="F606" s="274"/>
      <c r="G606" s="476"/>
      <c r="H606" s="483" t="str">
        <f t="shared" si="36"/>
        <v xml:space="preserve"> </v>
      </c>
      <c r="I606" s="471">
        <f t="shared" si="37"/>
        <v>1601</v>
      </c>
      <c r="J606" s="471">
        <f t="shared" si="38"/>
        <v>0</v>
      </c>
      <c r="K606">
        <f t="shared" si="39"/>
        <v>1</v>
      </c>
    </row>
    <row r="607" spans="1:11" x14ac:dyDescent="0.2">
      <c r="A607" s="472">
        <v>1602</v>
      </c>
      <c r="B607" s="475" t="s">
        <v>410</v>
      </c>
      <c r="C607" s="472"/>
      <c r="D607" s="472"/>
      <c r="E607" s="274"/>
      <c r="F607" s="274"/>
      <c r="G607" s="476"/>
      <c r="H607" s="483" t="str">
        <f t="shared" si="36"/>
        <v xml:space="preserve">Did Not Shoot </v>
      </c>
      <c r="I607" s="471">
        <f t="shared" si="37"/>
        <v>1602</v>
      </c>
      <c r="J607" s="471">
        <f t="shared" si="38"/>
        <v>0</v>
      </c>
      <c r="K607">
        <f t="shared" si="39"/>
        <v>14</v>
      </c>
    </row>
    <row r="608" spans="1:11" x14ac:dyDescent="0.2">
      <c r="A608" s="472">
        <v>1603</v>
      </c>
      <c r="B608" s="472"/>
      <c r="C608" s="472"/>
      <c r="D608" s="472"/>
      <c r="E608" s="274"/>
      <c r="F608" s="274"/>
      <c r="G608" s="476"/>
      <c r="H608" s="483" t="str">
        <f t="shared" si="36"/>
        <v xml:space="preserve"> </v>
      </c>
      <c r="I608" s="471">
        <f t="shared" si="37"/>
        <v>1603</v>
      </c>
      <c r="J608" s="471">
        <f t="shared" si="38"/>
        <v>0</v>
      </c>
      <c r="K608">
        <f t="shared" si="39"/>
        <v>1</v>
      </c>
    </row>
    <row r="609" spans="1:11" x14ac:dyDescent="0.2">
      <c r="A609" s="472">
        <v>1604</v>
      </c>
      <c r="B609" s="472"/>
      <c r="C609" s="472"/>
      <c r="D609" s="472"/>
      <c r="E609" s="274"/>
      <c r="F609" s="274"/>
      <c r="G609" s="476"/>
      <c r="H609" s="483" t="str">
        <f t="shared" si="36"/>
        <v xml:space="preserve"> </v>
      </c>
      <c r="I609" s="471">
        <f t="shared" si="37"/>
        <v>1604</v>
      </c>
      <c r="J609" s="471">
        <f t="shared" si="38"/>
        <v>0</v>
      </c>
      <c r="K609">
        <f t="shared" si="39"/>
        <v>1</v>
      </c>
    </row>
    <row r="610" spans="1:11" x14ac:dyDescent="0.2">
      <c r="A610" s="472">
        <v>1605</v>
      </c>
      <c r="B610" s="472"/>
      <c r="C610" s="472"/>
      <c r="D610" s="472"/>
      <c r="E610" s="274"/>
      <c r="F610" s="274"/>
      <c r="G610" s="476"/>
      <c r="H610" s="483" t="str">
        <f t="shared" si="36"/>
        <v xml:space="preserve"> </v>
      </c>
      <c r="I610" s="471">
        <f t="shared" si="37"/>
        <v>1605</v>
      </c>
      <c r="J610" s="471">
        <f t="shared" si="38"/>
        <v>0</v>
      </c>
      <c r="K610">
        <f t="shared" si="39"/>
        <v>1</v>
      </c>
    </row>
    <row r="611" spans="1:11" x14ac:dyDescent="0.2">
      <c r="A611" s="472">
        <v>1606</v>
      </c>
      <c r="B611" s="472"/>
      <c r="C611" s="472"/>
      <c r="D611" s="472"/>
      <c r="E611" s="274"/>
      <c r="F611" s="274"/>
      <c r="G611" s="476"/>
      <c r="H611" s="483" t="str">
        <f t="shared" si="36"/>
        <v xml:space="preserve"> </v>
      </c>
      <c r="I611" s="471">
        <f t="shared" si="37"/>
        <v>1606</v>
      </c>
      <c r="J611" s="471">
        <f t="shared" si="38"/>
        <v>0</v>
      </c>
      <c r="K611">
        <f t="shared" si="39"/>
        <v>1</v>
      </c>
    </row>
    <row r="612" spans="1:11" x14ac:dyDescent="0.2">
      <c r="A612" s="472">
        <v>1607</v>
      </c>
      <c r="B612" s="472"/>
      <c r="C612" s="472"/>
      <c r="D612" s="472"/>
      <c r="E612" s="274"/>
      <c r="F612" s="274"/>
      <c r="G612" s="476"/>
      <c r="H612" s="483" t="str">
        <f t="shared" si="36"/>
        <v xml:space="preserve"> </v>
      </c>
      <c r="I612" s="471">
        <f t="shared" si="37"/>
        <v>1607</v>
      </c>
      <c r="J612" s="471">
        <f t="shared" si="38"/>
        <v>0</v>
      </c>
      <c r="K612">
        <f t="shared" si="39"/>
        <v>1</v>
      </c>
    </row>
    <row r="613" spans="1:11" x14ac:dyDescent="0.2">
      <c r="A613" s="472">
        <v>1608</v>
      </c>
      <c r="B613" s="472"/>
      <c r="C613" s="472"/>
      <c r="D613" s="472"/>
      <c r="E613" s="274"/>
      <c r="F613" s="274"/>
      <c r="G613" s="476"/>
      <c r="H613" s="483" t="str">
        <f t="shared" si="36"/>
        <v xml:space="preserve"> </v>
      </c>
      <c r="I613" s="471">
        <f t="shared" si="37"/>
        <v>1608</v>
      </c>
      <c r="J613" s="471">
        <f t="shared" si="38"/>
        <v>0</v>
      </c>
      <c r="K613">
        <f t="shared" si="39"/>
        <v>1</v>
      </c>
    </row>
    <row r="614" spans="1:11" x14ac:dyDescent="0.2">
      <c r="A614" s="472">
        <v>1609</v>
      </c>
      <c r="B614" s="472"/>
      <c r="C614" s="472"/>
      <c r="D614" s="472"/>
      <c r="E614" s="274"/>
      <c r="F614" s="274"/>
      <c r="G614" s="476"/>
      <c r="H614" s="483" t="str">
        <f t="shared" si="36"/>
        <v xml:space="preserve"> </v>
      </c>
      <c r="I614" s="471">
        <f t="shared" si="37"/>
        <v>1609</v>
      </c>
      <c r="J614" s="471">
        <f t="shared" si="38"/>
        <v>0</v>
      </c>
      <c r="K614">
        <f t="shared" si="39"/>
        <v>1</v>
      </c>
    </row>
    <row r="615" spans="1:11" x14ac:dyDescent="0.2">
      <c r="A615" s="472">
        <v>1610</v>
      </c>
      <c r="B615" s="472"/>
      <c r="C615" s="472"/>
      <c r="D615" s="472"/>
      <c r="E615" s="274"/>
      <c r="F615" s="274"/>
      <c r="G615" s="476"/>
      <c r="H615" s="483" t="str">
        <f t="shared" si="36"/>
        <v xml:space="preserve"> </v>
      </c>
      <c r="I615" s="471">
        <f t="shared" si="37"/>
        <v>1610</v>
      </c>
      <c r="J615" s="471">
        <f t="shared" si="38"/>
        <v>0</v>
      </c>
      <c r="K615">
        <f t="shared" si="39"/>
        <v>1</v>
      </c>
    </row>
    <row r="616" spans="1:11" x14ac:dyDescent="0.2">
      <c r="A616" s="472">
        <v>1611</v>
      </c>
      <c r="B616" s="472"/>
      <c r="C616" s="472"/>
      <c r="D616" s="472"/>
      <c r="E616" s="274"/>
      <c r="F616" s="274"/>
      <c r="G616" s="476"/>
      <c r="H616" s="483" t="str">
        <f t="shared" si="36"/>
        <v xml:space="preserve"> </v>
      </c>
      <c r="I616" s="471">
        <f t="shared" si="37"/>
        <v>1611</v>
      </c>
      <c r="J616" s="471">
        <f t="shared" si="38"/>
        <v>0</v>
      </c>
      <c r="K616">
        <f t="shared" si="39"/>
        <v>1</v>
      </c>
    </row>
    <row r="617" spans="1:11" x14ac:dyDescent="0.2">
      <c r="A617" s="472">
        <v>1612</v>
      </c>
      <c r="B617" s="472"/>
      <c r="C617" s="472"/>
      <c r="D617" s="472"/>
      <c r="E617" s="274"/>
      <c r="F617" s="274"/>
      <c r="G617" s="476"/>
      <c r="H617" s="483" t="str">
        <f t="shared" si="36"/>
        <v xml:space="preserve"> </v>
      </c>
      <c r="I617" s="471">
        <f t="shared" si="37"/>
        <v>1612</v>
      </c>
      <c r="J617" s="471">
        <f t="shared" si="38"/>
        <v>0</v>
      </c>
      <c r="K617">
        <f t="shared" si="39"/>
        <v>1</v>
      </c>
    </row>
    <row r="618" spans="1:11" x14ac:dyDescent="0.2">
      <c r="A618" s="472">
        <v>1613</v>
      </c>
      <c r="B618" s="475" t="s">
        <v>410</v>
      </c>
      <c r="C618" s="472"/>
      <c r="D618" s="472"/>
      <c r="E618" s="274"/>
      <c r="F618" s="274"/>
      <c r="G618" s="476"/>
      <c r="H618" s="483" t="str">
        <f t="shared" si="36"/>
        <v xml:space="preserve">Did Not Shoot </v>
      </c>
      <c r="I618" s="471">
        <f t="shared" si="37"/>
        <v>1613</v>
      </c>
      <c r="J618" s="471">
        <f t="shared" si="38"/>
        <v>0</v>
      </c>
      <c r="K618">
        <f t="shared" si="39"/>
        <v>14</v>
      </c>
    </row>
    <row r="619" spans="1:11" x14ac:dyDescent="0.2">
      <c r="A619" s="472">
        <v>1614</v>
      </c>
      <c r="B619" s="472"/>
      <c r="C619" s="472"/>
      <c r="D619" s="472"/>
      <c r="E619" s="274"/>
      <c r="F619" s="274"/>
      <c r="G619" s="476"/>
      <c r="H619" s="483" t="str">
        <f t="shared" si="36"/>
        <v xml:space="preserve"> </v>
      </c>
      <c r="I619" s="471">
        <f t="shared" si="37"/>
        <v>1614</v>
      </c>
      <c r="J619" s="471">
        <f t="shared" si="38"/>
        <v>0</v>
      </c>
      <c r="K619">
        <f t="shared" si="39"/>
        <v>1</v>
      </c>
    </row>
    <row r="620" spans="1:11" x14ac:dyDescent="0.2">
      <c r="A620" s="472">
        <v>1615</v>
      </c>
      <c r="B620" s="472"/>
      <c r="C620" s="472"/>
      <c r="D620" s="472"/>
      <c r="E620" s="274"/>
      <c r="F620" s="274"/>
      <c r="G620" s="476"/>
      <c r="H620" s="483" t="str">
        <f t="shared" si="36"/>
        <v xml:space="preserve"> </v>
      </c>
      <c r="I620" s="471">
        <f t="shared" si="37"/>
        <v>1615</v>
      </c>
      <c r="J620" s="471">
        <f t="shared" si="38"/>
        <v>0</v>
      </c>
      <c r="K620">
        <f t="shared" si="39"/>
        <v>1</v>
      </c>
    </row>
    <row r="621" spans="1:11" x14ac:dyDescent="0.2">
      <c r="A621" s="472">
        <v>1616</v>
      </c>
      <c r="B621" s="472"/>
      <c r="C621" s="472"/>
      <c r="D621" s="472"/>
      <c r="E621" s="274"/>
      <c r="F621" s="274"/>
      <c r="G621" s="476"/>
      <c r="H621" s="483" t="str">
        <f t="shared" si="36"/>
        <v xml:space="preserve"> </v>
      </c>
      <c r="I621" s="471">
        <f t="shared" si="37"/>
        <v>1616</v>
      </c>
      <c r="J621" s="471">
        <f t="shared" si="38"/>
        <v>0</v>
      </c>
      <c r="K621">
        <f t="shared" si="39"/>
        <v>1</v>
      </c>
    </row>
    <row r="622" spans="1:11" x14ac:dyDescent="0.2">
      <c r="A622" s="472">
        <v>1617</v>
      </c>
      <c r="B622" s="472"/>
      <c r="C622" s="472"/>
      <c r="D622" s="472"/>
      <c r="E622" s="274"/>
      <c r="F622" s="274"/>
      <c r="G622" s="476"/>
      <c r="H622" s="483" t="str">
        <f t="shared" si="36"/>
        <v xml:space="preserve"> </v>
      </c>
      <c r="I622" s="471">
        <f t="shared" si="37"/>
        <v>1617</v>
      </c>
      <c r="J622" s="471">
        <f t="shared" si="38"/>
        <v>0</v>
      </c>
      <c r="K622">
        <f t="shared" si="39"/>
        <v>1</v>
      </c>
    </row>
    <row r="623" spans="1:11" x14ac:dyDescent="0.2">
      <c r="A623" s="472">
        <v>1618</v>
      </c>
      <c r="B623" s="472"/>
      <c r="C623" s="472"/>
      <c r="D623" s="472"/>
      <c r="E623" s="274"/>
      <c r="F623" s="274"/>
      <c r="G623" s="476"/>
      <c r="H623" s="483" t="str">
        <f t="shared" si="36"/>
        <v xml:space="preserve"> </v>
      </c>
      <c r="I623" s="471">
        <f t="shared" si="37"/>
        <v>1618</v>
      </c>
      <c r="J623" s="471">
        <f t="shared" si="38"/>
        <v>0</v>
      </c>
      <c r="K623">
        <f t="shared" si="39"/>
        <v>1</v>
      </c>
    </row>
    <row r="624" spans="1:11" x14ac:dyDescent="0.2">
      <c r="A624" s="472">
        <v>1619</v>
      </c>
      <c r="B624" s="472"/>
      <c r="C624" s="472"/>
      <c r="D624" s="472"/>
      <c r="E624" s="274"/>
      <c r="F624" s="274"/>
      <c r="G624" s="476"/>
      <c r="H624" s="483" t="str">
        <f t="shared" si="36"/>
        <v xml:space="preserve"> </v>
      </c>
      <c r="I624" s="471">
        <f t="shared" si="37"/>
        <v>1619</v>
      </c>
      <c r="J624" s="471">
        <f t="shared" si="38"/>
        <v>0</v>
      </c>
      <c r="K624">
        <f t="shared" si="39"/>
        <v>1</v>
      </c>
    </row>
    <row r="625" spans="1:11" x14ac:dyDescent="0.2">
      <c r="A625" s="472">
        <v>1620</v>
      </c>
      <c r="B625" s="472"/>
      <c r="C625" s="472"/>
      <c r="D625" s="472"/>
      <c r="E625" s="274"/>
      <c r="F625" s="274"/>
      <c r="G625" s="476"/>
      <c r="H625" s="483" t="str">
        <f t="shared" si="36"/>
        <v xml:space="preserve"> </v>
      </c>
      <c r="I625" s="471">
        <f t="shared" si="37"/>
        <v>1620</v>
      </c>
      <c r="J625" s="471">
        <f t="shared" si="38"/>
        <v>0</v>
      </c>
      <c r="K625">
        <f t="shared" si="39"/>
        <v>1</v>
      </c>
    </row>
    <row r="626" spans="1:11" x14ac:dyDescent="0.2">
      <c r="A626" s="472">
        <v>1621</v>
      </c>
      <c r="B626" s="472"/>
      <c r="C626" s="472"/>
      <c r="D626" s="472"/>
      <c r="E626" s="274"/>
      <c r="F626" s="274"/>
      <c r="G626" s="476"/>
      <c r="H626" s="483" t="str">
        <f t="shared" si="36"/>
        <v xml:space="preserve"> </v>
      </c>
      <c r="I626" s="471">
        <f t="shared" si="37"/>
        <v>1621</v>
      </c>
      <c r="J626" s="471">
        <f t="shared" si="38"/>
        <v>0</v>
      </c>
      <c r="K626">
        <f t="shared" si="39"/>
        <v>1</v>
      </c>
    </row>
    <row r="627" spans="1:11" x14ac:dyDescent="0.2">
      <c r="A627" s="472">
        <v>1622</v>
      </c>
      <c r="B627" s="472"/>
      <c r="C627" s="472"/>
      <c r="D627" s="472"/>
      <c r="E627" s="274"/>
      <c r="F627" s="274"/>
      <c r="G627" s="476"/>
      <c r="H627" s="483" t="str">
        <f t="shared" si="36"/>
        <v xml:space="preserve"> </v>
      </c>
      <c r="I627" s="471">
        <f t="shared" si="37"/>
        <v>1622</v>
      </c>
      <c r="J627" s="471">
        <f t="shared" si="38"/>
        <v>0</v>
      </c>
      <c r="K627">
        <f t="shared" si="39"/>
        <v>1</v>
      </c>
    </row>
    <row r="628" spans="1:11" x14ac:dyDescent="0.2">
      <c r="A628" s="472">
        <v>1623</v>
      </c>
      <c r="B628" s="472"/>
      <c r="C628" s="472"/>
      <c r="D628" s="472"/>
      <c r="E628" s="274"/>
      <c r="F628" s="274"/>
      <c r="G628" s="476"/>
      <c r="H628" s="483" t="str">
        <f t="shared" si="36"/>
        <v xml:space="preserve"> </v>
      </c>
      <c r="I628" s="471">
        <f t="shared" si="37"/>
        <v>1623</v>
      </c>
      <c r="J628" s="471">
        <f t="shared" si="38"/>
        <v>0</v>
      </c>
      <c r="K628">
        <f t="shared" si="39"/>
        <v>1</v>
      </c>
    </row>
    <row r="629" spans="1:11" x14ac:dyDescent="0.2">
      <c r="A629" s="472">
        <v>1624</v>
      </c>
      <c r="B629" s="472"/>
      <c r="C629" s="472"/>
      <c r="D629" s="472"/>
      <c r="E629" s="274"/>
      <c r="F629" s="274"/>
      <c r="G629" s="476"/>
      <c r="H629" s="483" t="str">
        <f t="shared" si="36"/>
        <v xml:space="preserve"> </v>
      </c>
      <c r="I629" s="471">
        <f t="shared" si="37"/>
        <v>1624</v>
      </c>
      <c r="J629" s="471">
        <f t="shared" si="38"/>
        <v>0</v>
      </c>
      <c r="K629">
        <f t="shared" si="39"/>
        <v>1</v>
      </c>
    </row>
    <row r="630" spans="1:11" x14ac:dyDescent="0.2">
      <c r="A630" s="472">
        <v>1625</v>
      </c>
      <c r="B630" s="472"/>
      <c r="C630" s="472"/>
      <c r="D630" s="472"/>
      <c r="E630" s="274"/>
      <c r="F630" s="274"/>
      <c r="G630" s="476"/>
      <c r="H630" s="483" t="str">
        <f t="shared" si="36"/>
        <v xml:space="preserve"> </v>
      </c>
      <c r="I630" s="471">
        <f t="shared" si="37"/>
        <v>1625</v>
      </c>
      <c r="J630" s="471">
        <f t="shared" si="38"/>
        <v>0</v>
      </c>
      <c r="K630">
        <f t="shared" si="39"/>
        <v>1</v>
      </c>
    </row>
    <row r="631" spans="1:11" x14ac:dyDescent="0.2">
      <c r="A631" s="472">
        <v>1626</v>
      </c>
      <c r="B631" s="472"/>
      <c r="C631" s="472"/>
      <c r="D631" s="472"/>
      <c r="E631" s="274"/>
      <c r="F631" s="274"/>
      <c r="G631" s="476"/>
      <c r="H631" s="483" t="str">
        <f t="shared" si="36"/>
        <v xml:space="preserve"> </v>
      </c>
      <c r="I631" s="471">
        <f t="shared" si="37"/>
        <v>1626</v>
      </c>
      <c r="J631" s="471">
        <f t="shared" si="38"/>
        <v>0</v>
      </c>
      <c r="K631">
        <f t="shared" si="39"/>
        <v>1</v>
      </c>
    </row>
    <row r="632" spans="1:11" x14ac:dyDescent="0.2">
      <c r="A632" s="472">
        <v>1627</v>
      </c>
      <c r="B632" s="472"/>
      <c r="C632" s="472"/>
      <c r="D632" s="472"/>
      <c r="E632" s="274"/>
      <c r="F632" s="274"/>
      <c r="G632" s="476"/>
      <c r="H632" s="483" t="str">
        <f t="shared" si="36"/>
        <v xml:space="preserve"> </v>
      </c>
      <c r="I632" s="471">
        <f t="shared" si="37"/>
        <v>1627</v>
      </c>
      <c r="J632" s="471">
        <f t="shared" si="38"/>
        <v>0</v>
      </c>
      <c r="K632">
        <f t="shared" si="39"/>
        <v>1</v>
      </c>
    </row>
    <row r="633" spans="1:11" x14ac:dyDescent="0.2">
      <c r="A633" s="472">
        <v>1628</v>
      </c>
      <c r="B633" s="472"/>
      <c r="C633" s="472"/>
      <c r="D633" s="472"/>
      <c r="E633" s="274"/>
      <c r="F633" s="274"/>
      <c r="G633" s="476"/>
      <c r="H633" s="483" t="str">
        <f t="shared" si="36"/>
        <v xml:space="preserve"> </v>
      </c>
      <c r="I633" s="471">
        <f t="shared" si="37"/>
        <v>1628</v>
      </c>
      <c r="J633" s="471">
        <f t="shared" si="38"/>
        <v>0</v>
      </c>
      <c r="K633">
        <f t="shared" si="39"/>
        <v>1</v>
      </c>
    </row>
    <row r="634" spans="1:11" x14ac:dyDescent="0.2">
      <c r="A634" s="472">
        <v>1629</v>
      </c>
      <c r="B634" s="472"/>
      <c r="C634" s="472"/>
      <c r="D634" s="472"/>
      <c r="E634" s="274"/>
      <c r="F634" s="274"/>
      <c r="G634" s="476"/>
      <c r="H634" s="483" t="str">
        <f t="shared" si="36"/>
        <v xml:space="preserve"> </v>
      </c>
      <c r="I634" s="471">
        <f t="shared" si="37"/>
        <v>1629</v>
      </c>
      <c r="J634" s="471">
        <f t="shared" si="38"/>
        <v>0</v>
      </c>
      <c r="K634">
        <f t="shared" si="39"/>
        <v>1</v>
      </c>
    </row>
    <row r="635" spans="1:11" x14ac:dyDescent="0.2">
      <c r="A635" s="472">
        <v>1630</v>
      </c>
      <c r="B635" s="472"/>
      <c r="C635" s="472"/>
      <c r="D635" s="472"/>
      <c r="E635" s="274"/>
      <c r="F635" s="274"/>
      <c r="G635" s="476"/>
      <c r="H635" s="483" t="str">
        <f t="shared" si="36"/>
        <v xml:space="preserve"> </v>
      </c>
      <c r="I635" s="471">
        <f t="shared" si="37"/>
        <v>1630</v>
      </c>
      <c r="J635" s="471">
        <f t="shared" si="38"/>
        <v>0</v>
      </c>
      <c r="K635">
        <f t="shared" si="39"/>
        <v>1</v>
      </c>
    </row>
    <row r="636" spans="1:11" x14ac:dyDescent="0.2">
      <c r="A636" s="472">
        <v>1631</v>
      </c>
      <c r="B636" s="472"/>
      <c r="C636" s="472"/>
      <c r="D636" s="472"/>
      <c r="E636" s="274"/>
      <c r="F636" s="274"/>
      <c r="G636" s="476"/>
      <c r="H636" s="483" t="str">
        <f t="shared" si="36"/>
        <v xml:space="preserve"> </v>
      </c>
      <c r="I636" s="471">
        <f t="shared" si="37"/>
        <v>1631</v>
      </c>
      <c r="J636" s="471">
        <f t="shared" si="38"/>
        <v>0</v>
      </c>
      <c r="K636">
        <f t="shared" si="39"/>
        <v>1</v>
      </c>
    </row>
    <row r="637" spans="1:11" x14ac:dyDescent="0.2">
      <c r="A637" s="472">
        <v>1632</v>
      </c>
      <c r="B637" s="472"/>
      <c r="C637" s="472"/>
      <c r="D637" s="472"/>
      <c r="E637" s="274"/>
      <c r="F637" s="274"/>
      <c r="G637" s="476"/>
      <c r="H637" s="483" t="str">
        <f t="shared" si="36"/>
        <v xml:space="preserve"> </v>
      </c>
      <c r="I637" s="471">
        <f t="shared" si="37"/>
        <v>1632</v>
      </c>
      <c r="J637" s="471">
        <f t="shared" si="38"/>
        <v>0</v>
      </c>
      <c r="K637">
        <f t="shared" si="39"/>
        <v>1</v>
      </c>
    </row>
    <row r="638" spans="1:11" x14ac:dyDescent="0.2">
      <c r="A638" s="472">
        <v>1633</v>
      </c>
      <c r="B638" s="472"/>
      <c r="C638" s="472"/>
      <c r="D638" s="472"/>
      <c r="E638" s="274"/>
      <c r="F638" s="274"/>
      <c r="G638" s="476"/>
      <c r="H638" s="483" t="str">
        <f t="shared" si="36"/>
        <v xml:space="preserve"> </v>
      </c>
      <c r="I638" s="471">
        <f t="shared" si="37"/>
        <v>1633</v>
      </c>
      <c r="J638" s="471">
        <f t="shared" si="38"/>
        <v>0</v>
      </c>
      <c r="K638">
        <f t="shared" si="39"/>
        <v>1</v>
      </c>
    </row>
    <row r="639" spans="1:11" x14ac:dyDescent="0.2">
      <c r="A639" s="472">
        <v>1634</v>
      </c>
      <c r="B639" s="472"/>
      <c r="C639" s="472"/>
      <c r="D639" s="472"/>
      <c r="E639" s="274"/>
      <c r="F639" s="274"/>
      <c r="G639" s="476"/>
      <c r="H639" s="483" t="str">
        <f t="shared" si="36"/>
        <v xml:space="preserve"> </v>
      </c>
      <c r="I639" s="471">
        <f t="shared" si="37"/>
        <v>1634</v>
      </c>
      <c r="J639" s="471">
        <f t="shared" si="38"/>
        <v>0</v>
      </c>
      <c r="K639">
        <f t="shared" si="39"/>
        <v>1</v>
      </c>
    </row>
    <row r="640" spans="1:11" x14ac:dyDescent="0.2">
      <c r="A640" s="472">
        <v>1635</v>
      </c>
      <c r="B640" s="472"/>
      <c r="C640" s="472"/>
      <c r="D640" s="472"/>
      <c r="E640" s="274"/>
      <c r="F640" s="274"/>
      <c r="G640" s="476"/>
      <c r="H640" s="483" t="str">
        <f t="shared" si="36"/>
        <v xml:space="preserve"> </v>
      </c>
      <c r="I640" s="471">
        <f t="shared" si="37"/>
        <v>1635</v>
      </c>
      <c r="J640" s="471">
        <f t="shared" si="38"/>
        <v>0</v>
      </c>
      <c r="K640">
        <f t="shared" si="39"/>
        <v>1</v>
      </c>
    </row>
    <row r="641" spans="1:11" x14ac:dyDescent="0.2">
      <c r="A641" s="472">
        <v>1636</v>
      </c>
      <c r="B641" s="472"/>
      <c r="C641" s="472"/>
      <c r="D641" s="472"/>
      <c r="E641" s="274"/>
      <c r="F641" s="274"/>
      <c r="G641" s="476"/>
      <c r="H641" s="483" t="str">
        <f t="shared" si="36"/>
        <v xml:space="preserve"> </v>
      </c>
      <c r="I641" s="471">
        <f t="shared" si="37"/>
        <v>1636</v>
      </c>
      <c r="J641" s="471">
        <f t="shared" si="38"/>
        <v>0</v>
      </c>
      <c r="K641">
        <f t="shared" si="39"/>
        <v>1</v>
      </c>
    </row>
    <row r="642" spans="1:11" x14ac:dyDescent="0.2">
      <c r="A642" s="472">
        <v>1637</v>
      </c>
      <c r="B642" s="472"/>
      <c r="C642" s="472"/>
      <c r="D642" s="472"/>
      <c r="E642" s="274"/>
      <c r="F642" s="274"/>
      <c r="G642" s="476"/>
      <c r="H642" s="483" t="str">
        <f t="shared" si="36"/>
        <v xml:space="preserve"> </v>
      </c>
      <c r="I642" s="471">
        <f t="shared" si="37"/>
        <v>1637</v>
      </c>
      <c r="J642" s="471">
        <f t="shared" si="38"/>
        <v>0</v>
      </c>
      <c r="K642">
        <f t="shared" si="39"/>
        <v>1</v>
      </c>
    </row>
    <row r="643" spans="1:11" x14ac:dyDescent="0.2">
      <c r="A643" s="472">
        <v>1638</v>
      </c>
      <c r="B643" s="472"/>
      <c r="C643" s="472"/>
      <c r="D643" s="472"/>
      <c r="E643" s="274"/>
      <c r="F643" s="274"/>
      <c r="G643" s="476"/>
      <c r="H643" s="483" t="str">
        <f t="shared" si="36"/>
        <v xml:space="preserve"> </v>
      </c>
      <c r="I643" s="471">
        <f t="shared" si="37"/>
        <v>1638</v>
      </c>
      <c r="J643" s="471">
        <f t="shared" si="38"/>
        <v>0</v>
      </c>
      <c r="K643">
        <f t="shared" si="39"/>
        <v>1</v>
      </c>
    </row>
    <row r="644" spans="1:11" x14ac:dyDescent="0.2">
      <c r="A644" s="472">
        <v>1639</v>
      </c>
      <c r="B644" s="472"/>
      <c r="C644" s="472"/>
      <c r="D644" s="472"/>
      <c r="E644" s="274"/>
      <c r="F644" s="274"/>
      <c r="G644" s="476"/>
      <c r="H644" s="483" t="str">
        <f t="shared" si="36"/>
        <v xml:space="preserve"> </v>
      </c>
      <c r="I644" s="471">
        <f t="shared" si="37"/>
        <v>1639</v>
      </c>
      <c r="J644" s="471">
        <f t="shared" si="38"/>
        <v>0</v>
      </c>
      <c r="K644">
        <f t="shared" si="39"/>
        <v>1</v>
      </c>
    </row>
    <row r="645" spans="1:11" x14ac:dyDescent="0.2">
      <c r="A645" s="472">
        <v>1640</v>
      </c>
      <c r="B645" s="472"/>
      <c r="C645" s="472"/>
      <c r="D645" s="472"/>
      <c r="E645" s="274"/>
      <c r="F645" s="274"/>
      <c r="G645" s="476"/>
      <c r="H645" s="483" t="str">
        <f t="shared" si="36"/>
        <v xml:space="preserve"> </v>
      </c>
      <c r="I645" s="471">
        <f t="shared" si="37"/>
        <v>1640</v>
      </c>
      <c r="J645" s="471">
        <f t="shared" si="38"/>
        <v>0</v>
      </c>
      <c r="K645">
        <f t="shared" si="39"/>
        <v>1</v>
      </c>
    </row>
    <row r="646" spans="1:11" x14ac:dyDescent="0.2">
      <c r="A646" s="472">
        <v>1641</v>
      </c>
      <c r="B646" s="472"/>
      <c r="C646" s="472"/>
      <c r="D646" s="472"/>
      <c r="E646" s="274"/>
      <c r="F646" s="274"/>
      <c r="G646" s="476"/>
      <c r="H646" s="483" t="str">
        <f t="shared" ref="H646:H686" si="40">CONCATENATE(B646," ",C646)</f>
        <v xml:space="preserve"> </v>
      </c>
      <c r="I646" s="471">
        <f t="shared" ref="I646:I686" si="41">A646</f>
        <v>1641</v>
      </c>
      <c r="J646" s="471">
        <f t="shared" ref="J646:J686" si="42">G646</f>
        <v>0</v>
      </c>
      <c r="K646">
        <f t="shared" ref="K646:K686" si="43">LEN(H646)</f>
        <v>1</v>
      </c>
    </row>
    <row r="647" spans="1:11" x14ac:dyDescent="0.2">
      <c r="A647" s="472">
        <v>1642</v>
      </c>
      <c r="B647" s="472"/>
      <c r="C647" s="472"/>
      <c r="D647" s="472"/>
      <c r="E647" s="274"/>
      <c r="F647" s="274"/>
      <c r="G647" s="476"/>
      <c r="H647" s="483" t="str">
        <f t="shared" si="40"/>
        <v xml:space="preserve"> </v>
      </c>
      <c r="I647" s="471">
        <f t="shared" si="41"/>
        <v>1642</v>
      </c>
      <c r="J647" s="471">
        <f t="shared" si="42"/>
        <v>0</v>
      </c>
      <c r="K647">
        <f t="shared" si="43"/>
        <v>1</v>
      </c>
    </row>
    <row r="648" spans="1:11" x14ac:dyDescent="0.2">
      <c r="A648" s="472">
        <v>1643</v>
      </c>
      <c r="B648" s="472"/>
      <c r="C648" s="472"/>
      <c r="D648" s="472"/>
      <c r="E648" s="274"/>
      <c r="F648" s="274"/>
      <c r="G648" s="476"/>
      <c r="H648" s="483" t="str">
        <f t="shared" si="40"/>
        <v xml:space="preserve"> </v>
      </c>
      <c r="I648" s="471">
        <f t="shared" si="41"/>
        <v>1643</v>
      </c>
      <c r="J648" s="471">
        <f t="shared" si="42"/>
        <v>0</v>
      </c>
      <c r="K648">
        <f t="shared" si="43"/>
        <v>1</v>
      </c>
    </row>
    <row r="649" spans="1:11" x14ac:dyDescent="0.2">
      <c r="A649" s="472">
        <v>1644</v>
      </c>
      <c r="B649" s="472"/>
      <c r="C649" s="472"/>
      <c r="D649" s="472"/>
      <c r="E649" s="274"/>
      <c r="F649" s="274"/>
      <c r="G649" s="476"/>
      <c r="H649" s="483" t="str">
        <f t="shared" si="40"/>
        <v xml:space="preserve"> </v>
      </c>
      <c r="I649" s="471">
        <f t="shared" si="41"/>
        <v>1644</v>
      </c>
      <c r="J649" s="471">
        <f t="shared" si="42"/>
        <v>0</v>
      </c>
      <c r="K649">
        <f t="shared" si="43"/>
        <v>1</v>
      </c>
    </row>
    <row r="650" spans="1:11" x14ac:dyDescent="0.2">
      <c r="A650" s="472">
        <v>1645</v>
      </c>
      <c r="B650" s="472"/>
      <c r="C650" s="472"/>
      <c r="D650" s="472"/>
      <c r="E650" s="274"/>
      <c r="F650" s="274"/>
      <c r="G650" s="476"/>
      <c r="H650" s="483" t="str">
        <f t="shared" si="40"/>
        <v xml:space="preserve"> </v>
      </c>
      <c r="I650" s="471">
        <f t="shared" si="41"/>
        <v>1645</v>
      </c>
      <c r="J650" s="471">
        <f t="shared" si="42"/>
        <v>0</v>
      </c>
      <c r="K650">
        <f t="shared" si="43"/>
        <v>1</v>
      </c>
    </row>
    <row r="651" spans="1:11" x14ac:dyDescent="0.2">
      <c r="A651" s="472">
        <v>1646</v>
      </c>
      <c r="B651" s="472"/>
      <c r="C651" s="472"/>
      <c r="D651" s="472"/>
      <c r="E651" s="274"/>
      <c r="F651" s="274"/>
      <c r="G651" s="476"/>
      <c r="H651" s="483" t="str">
        <f t="shared" si="40"/>
        <v xml:space="preserve"> </v>
      </c>
      <c r="I651" s="471">
        <f t="shared" si="41"/>
        <v>1646</v>
      </c>
      <c r="J651" s="471">
        <f t="shared" si="42"/>
        <v>0</v>
      </c>
      <c r="K651">
        <f t="shared" si="43"/>
        <v>1</v>
      </c>
    </row>
    <row r="652" spans="1:11" x14ac:dyDescent="0.2">
      <c r="A652" s="472">
        <v>1647</v>
      </c>
      <c r="B652" s="472"/>
      <c r="C652" s="472"/>
      <c r="D652" s="472"/>
      <c r="E652" s="274"/>
      <c r="F652" s="274"/>
      <c r="G652" s="476"/>
      <c r="H652" s="483" t="str">
        <f t="shared" si="40"/>
        <v xml:space="preserve"> </v>
      </c>
      <c r="I652" s="471">
        <f t="shared" si="41"/>
        <v>1647</v>
      </c>
      <c r="J652" s="471">
        <f t="shared" si="42"/>
        <v>0</v>
      </c>
      <c r="K652">
        <f t="shared" si="43"/>
        <v>1</v>
      </c>
    </row>
    <row r="653" spans="1:11" x14ac:dyDescent="0.2">
      <c r="A653" s="472">
        <v>1648</v>
      </c>
      <c r="B653" s="472"/>
      <c r="C653" s="472"/>
      <c r="D653" s="472"/>
      <c r="E653" s="274"/>
      <c r="F653" s="274"/>
      <c r="G653" s="476"/>
      <c r="H653" s="483" t="str">
        <f t="shared" si="40"/>
        <v xml:space="preserve"> </v>
      </c>
      <c r="I653" s="471">
        <f t="shared" si="41"/>
        <v>1648</v>
      </c>
      <c r="J653" s="471">
        <f t="shared" si="42"/>
        <v>0</v>
      </c>
      <c r="K653">
        <f t="shared" si="43"/>
        <v>1</v>
      </c>
    </row>
    <row r="654" spans="1:11" x14ac:dyDescent="0.2">
      <c r="A654" s="472">
        <v>1649</v>
      </c>
      <c r="B654" s="475" t="s">
        <v>410</v>
      </c>
      <c r="C654" s="472"/>
      <c r="D654" s="472"/>
      <c r="E654" s="274"/>
      <c r="F654" s="274"/>
      <c r="G654" s="476"/>
      <c r="H654" s="483" t="str">
        <f t="shared" si="40"/>
        <v xml:space="preserve">Did Not Shoot </v>
      </c>
      <c r="I654" s="471">
        <f t="shared" si="41"/>
        <v>1649</v>
      </c>
      <c r="J654" s="471">
        <f t="shared" si="42"/>
        <v>0</v>
      </c>
      <c r="K654">
        <f t="shared" si="43"/>
        <v>14</v>
      </c>
    </row>
    <row r="655" spans="1:11" x14ac:dyDescent="0.2">
      <c r="A655" s="472">
        <v>1650</v>
      </c>
      <c r="B655" s="472"/>
      <c r="C655" s="472"/>
      <c r="D655" s="472"/>
      <c r="E655" s="274"/>
      <c r="F655" s="274"/>
      <c r="G655" s="476"/>
      <c r="H655" s="483" t="str">
        <f t="shared" si="40"/>
        <v xml:space="preserve"> </v>
      </c>
      <c r="I655" s="471">
        <f t="shared" si="41"/>
        <v>1650</v>
      </c>
      <c r="J655" s="471">
        <f t="shared" si="42"/>
        <v>0</v>
      </c>
      <c r="K655">
        <f t="shared" si="43"/>
        <v>1</v>
      </c>
    </row>
    <row r="656" spans="1:11" x14ac:dyDescent="0.2">
      <c r="A656" s="472">
        <v>1651</v>
      </c>
      <c r="B656" s="472"/>
      <c r="C656" s="472"/>
      <c r="D656" s="472"/>
      <c r="E656" s="274"/>
      <c r="F656" s="274"/>
      <c r="G656" s="476"/>
      <c r="H656" s="483" t="str">
        <f t="shared" si="40"/>
        <v xml:space="preserve"> </v>
      </c>
      <c r="I656" s="471">
        <f t="shared" si="41"/>
        <v>1651</v>
      </c>
      <c r="J656" s="471">
        <f t="shared" si="42"/>
        <v>0</v>
      </c>
      <c r="K656">
        <f t="shared" si="43"/>
        <v>1</v>
      </c>
    </row>
    <row r="657" spans="1:11" x14ac:dyDescent="0.2">
      <c r="A657" s="472">
        <v>1652</v>
      </c>
      <c r="B657" s="475" t="s">
        <v>410</v>
      </c>
      <c r="C657" s="472"/>
      <c r="D657" s="472"/>
      <c r="E657" s="274"/>
      <c r="F657" s="274"/>
      <c r="G657" s="476"/>
      <c r="H657" s="483" t="str">
        <f t="shared" si="40"/>
        <v xml:space="preserve">Did Not Shoot </v>
      </c>
      <c r="I657" s="471">
        <f t="shared" si="41"/>
        <v>1652</v>
      </c>
      <c r="J657" s="471">
        <f t="shared" si="42"/>
        <v>0</v>
      </c>
      <c r="K657">
        <f t="shared" si="43"/>
        <v>14</v>
      </c>
    </row>
    <row r="658" spans="1:11" x14ac:dyDescent="0.2">
      <c r="A658" s="472">
        <v>1653</v>
      </c>
      <c r="B658" s="475" t="s">
        <v>410</v>
      </c>
      <c r="C658" s="472"/>
      <c r="D658" s="472"/>
      <c r="E658" s="274"/>
      <c r="F658" s="274"/>
      <c r="G658" s="476"/>
      <c r="H658" s="483" t="str">
        <f t="shared" si="40"/>
        <v xml:space="preserve">Did Not Shoot </v>
      </c>
      <c r="I658" s="471">
        <f t="shared" si="41"/>
        <v>1653</v>
      </c>
      <c r="J658" s="471">
        <f t="shared" si="42"/>
        <v>0</v>
      </c>
      <c r="K658">
        <f t="shared" si="43"/>
        <v>14</v>
      </c>
    </row>
    <row r="659" spans="1:11" x14ac:dyDescent="0.2">
      <c r="A659" s="472">
        <v>1654</v>
      </c>
      <c r="B659" s="472"/>
      <c r="C659" s="472"/>
      <c r="D659" s="472"/>
      <c r="E659" s="274"/>
      <c r="F659" s="274"/>
      <c r="G659" s="476"/>
      <c r="H659" s="483" t="str">
        <f t="shared" si="40"/>
        <v xml:space="preserve"> </v>
      </c>
      <c r="I659" s="471">
        <f t="shared" si="41"/>
        <v>1654</v>
      </c>
      <c r="J659" s="471">
        <f t="shared" si="42"/>
        <v>0</v>
      </c>
      <c r="K659">
        <f t="shared" si="43"/>
        <v>1</v>
      </c>
    </row>
    <row r="660" spans="1:11" x14ac:dyDescent="0.2">
      <c r="A660" s="472">
        <v>1655</v>
      </c>
      <c r="B660" s="472"/>
      <c r="C660" s="472"/>
      <c r="D660" s="472"/>
      <c r="E660" s="274"/>
      <c r="F660" s="274"/>
      <c r="G660" s="476"/>
      <c r="H660" s="483" t="str">
        <f t="shared" si="40"/>
        <v xml:space="preserve"> </v>
      </c>
      <c r="I660" s="471">
        <f t="shared" si="41"/>
        <v>1655</v>
      </c>
      <c r="J660" s="471">
        <f t="shared" si="42"/>
        <v>0</v>
      </c>
      <c r="K660">
        <f t="shared" si="43"/>
        <v>1</v>
      </c>
    </row>
    <row r="661" spans="1:11" x14ac:dyDescent="0.2">
      <c r="A661" s="472">
        <v>1656</v>
      </c>
      <c r="B661" s="472"/>
      <c r="C661" s="472"/>
      <c r="D661" s="472"/>
      <c r="E661" s="274"/>
      <c r="F661" s="274"/>
      <c r="G661" s="476"/>
      <c r="H661" s="483" t="str">
        <f t="shared" si="40"/>
        <v xml:space="preserve"> </v>
      </c>
      <c r="I661" s="471">
        <f t="shared" si="41"/>
        <v>1656</v>
      </c>
      <c r="J661" s="471">
        <f t="shared" si="42"/>
        <v>0</v>
      </c>
      <c r="K661">
        <f t="shared" si="43"/>
        <v>1</v>
      </c>
    </row>
    <row r="662" spans="1:11" x14ac:dyDescent="0.2">
      <c r="A662" s="472">
        <v>1657</v>
      </c>
      <c r="B662" s="472"/>
      <c r="C662" s="472"/>
      <c r="D662" s="472"/>
      <c r="E662" s="274"/>
      <c r="F662" s="274"/>
      <c r="G662" s="476"/>
      <c r="H662" s="483" t="str">
        <f t="shared" si="40"/>
        <v xml:space="preserve"> </v>
      </c>
      <c r="I662" s="471">
        <f t="shared" si="41"/>
        <v>1657</v>
      </c>
      <c r="J662" s="471">
        <f t="shared" si="42"/>
        <v>0</v>
      </c>
      <c r="K662">
        <f t="shared" si="43"/>
        <v>1</v>
      </c>
    </row>
    <row r="663" spans="1:11" x14ac:dyDescent="0.2">
      <c r="A663" s="472">
        <v>1658</v>
      </c>
      <c r="B663" s="472"/>
      <c r="C663" s="472"/>
      <c r="D663" s="472"/>
      <c r="E663" s="274"/>
      <c r="F663" s="274"/>
      <c r="G663" s="476"/>
      <c r="H663" s="483" t="str">
        <f t="shared" si="40"/>
        <v xml:space="preserve"> </v>
      </c>
      <c r="I663" s="471">
        <f t="shared" si="41"/>
        <v>1658</v>
      </c>
      <c r="J663" s="471">
        <f t="shared" si="42"/>
        <v>0</v>
      </c>
      <c r="K663">
        <f t="shared" si="43"/>
        <v>1</v>
      </c>
    </row>
    <row r="664" spans="1:11" x14ac:dyDescent="0.2">
      <c r="A664" s="472">
        <v>1659</v>
      </c>
      <c r="B664" s="472"/>
      <c r="C664" s="472"/>
      <c r="D664" s="472"/>
      <c r="E664" s="274"/>
      <c r="F664" s="274"/>
      <c r="G664" s="476"/>
      <c r="H664" s="483" t="str">
        <f t="shared" si="40"/>
        <v xml:space="preserve"> </v>
      </c>
      <c r="I664" s="471">
        <f t="shared" si="41"/>
        <v>1659</v>
      </c>
      <c r="J664" s="471">
        <f t="shared" si="42"/>
        <v>0</v>
      </c>
      <c r="K664">
        <f t="shared" si="43"/>
        <v>1</v>
      </c>
    </row>
    <row r="665" spans="1:11" x14ac:dyDescent="0.2">
      <c r="A665" s="472">
        <v>1660</v>
      </c>
      <c r="B665" s="472"/>
      <c r="C665" s="472"/>
      <c r="D665" s="472"/>
      <c r="E665" s="274"/>
      <c r="F665" s="274"/>
      <c r="G665" s="476"/>
      <c r="H665" s="483" t="str">
        <f t="shared" si="40"/>
        <v xml:space="preserve"> </v>
      </c>
      <c r="I665" s="471">
        <f t="shared" si="41"/>
        <v>1660</v>
      </c>
      <c r="J665" s="471">
        <f t="shared" si="42"/>
        <v>0</v>
      </c>
      <c r="K665">
        <f t="shared" si="43"/>
        <v>1</v>
      </c>
    </row>
    <row r="666" spans="1:11" x14ac:dyDescent="0.2">
      <c r="A666" s="472">
        <v>1661</v>
      </c>
      <c r="B666" s="472"/>
      <c r="C666" s="472"/>
      <c r="D666" s="472"/>
      <c r="E666" s="274"/>
      <c r="F666" s="274"/>
      <c r="G666" s="476"/>
      <c r="H666" s="483" t="str">
        <f t="shared" si="40"/>
        <v xml:space="preserve"> </v>
      </c>
      <c r="I666" s="471">
        <f t="shared" si="41"/>
        <v>1661</v>
      </c>
      <c r="J666" s="471">
        <f t="shared" si="42"/>
        <v>0</v>
      </c>
      <c r="K666">
        <f t="shared" si="43"/>
        <v>1</v>
      </c>
    </row>
    <row r="667" spans="1:11" x14ac:dyDescent="0.2">
      <c r="A667" s="472">
        <v>1662</v>
      </c>
      <c r="B667" s="472"/>
      <c r="C667" s="472"/>
      <c r="D667" s="472"/>
      <c r="E667" s="274"/>
      <c r="F667" s="274"/>
      <c r="G667" s="476"/>
      <c r="H667" s="483" t="str">
        <f t="shared" si="40"/>
        <v xml:space="preserve"> </v>
      </c>
      <c r="I667" s="471">
        <f t="shared" si="41"/>
        <v>1662</v>
      </c>
      <c r="J667" s="471">
        <f t="shared" si="42"/>
        <v>0</v>
      </c>
      <c r="K667">
        <f t="shared" si="43"/>
        <v>1</v>
      </c>
    </row>
    <row r="668" spans="1:11" x14ac:dyDescent="0.2">
      <c r="A668" s="472">
        <v>1663</v>
      </c>
      <c r="B668" s="472"/>
      <c r="C668" s="472"/>
      <c r="D668" s="472"/>
      <c r="E668" s="274"/>
      <c r="F668" s="274"/>
      <c r="G668" s="476"/>
      <c r="H668" s="483" t="str">
        <f t="shared" si="40"/>
        <v xml:space="preserve"> </v>
      </c>
      <c r="I668" s="471">
        <f t="shared" si="41"/>
        <v>1663</v>
      </c>
      <c r="J668" s="471">
        <f t="shared" si="42"/>
        <v>0</v>
      </c>
      <c r="K668">
        <f t="shared" si="43"/>
        <v>1</v>
      </c>
    </row>
    <row r="669" spans="1:11" x14ac:dyDescent="0.2">
      <c r="A669" s="472">
        <v>1664</v>
      </c>
      <c r="B669" s="472"/>
      <c r="C669" s="472"/>
      <c r="D669" s="472"/>
      <c r="E669" s="274"/>
      <c r="F669" s="274"/>
      <c r="G669" s="476"/>
      <c r="H669" s="483" t="str">
        <f t="shared" si="40"/>
        <v xml:space="preserve"> </v>
      </c>
      <c r="I669" s="471">
        <f t="shared" si="41"/>
        <v>1664</v>
      </c>
      <c r="J669" s="471">
        <f t="shared" si="42"/>
        <v>0</v>
      </c>
      <c r="K669">
        <f t="shared" si="43"/>
        <v>1</v>
      </c>
    </row>
    <row r="670" spans="1:11" x14ac:dyDescent="0.2">
      <c r="A670" s="472">
        <v>1665</v>
      </c>
      <c r="B670" s="472"/>
      <c r="C670" s="472"/>
      <c r="D670" s="472"/>
      <c r="E670" s="274"/>
      <c r="F670" s="274"/>
      <c r="G670" s="476"/>
      <c r="H670" s="483" t="str">
        <f t="shared" si="40"/>
        <v xml:space="preserve"> </v>
      </c>
      <c r="I670" s="471">
        <f t="shared" si="41"/>
        <v>1665</v>
      </c>
      <c r="J670" s="471">
        <f t="shared" si="42"/>
        <v>0</v>
      </c>
      <c r="K670">
        <f t="shared" si="43"/>
        <v>1</v>
      </c>
    </row>
    <row r="671" spans="1:11" x14ac:dyDescent="0.2">
      <c r="A671" s="472">
        <v>1666</v>
      </c>
      <c r="B671" s="472"/>
      <c r="C671" s="472"/>
      <c r="D671" s="472"/>
      <c r="E671" s="274"/>
      <c r="F671" s="274"/>
      <c r="G671" s="476"/>
      <c r="H671" s="483" t="str">
        <f t="shared" si="40"/>
        <v xml:space="preserve"> </v>
      </c>
      <c r="I671" s="471">
        <f t="shared" si="41"/>
        <v>1666</v>
      </c>
      <c r="J671" s="471">
        <f t="shared" si="42"/>
        <v>0</v>
      </c>
      <c r="K671">
        <f t="shared" si="43"/>
        <v>1</v>
      </c>
    </row>
    <row r="672" spans="1:11" x14ac:dyDescent="0.2">
      <c r="A672" s="472">
        <v>1667</v>
      </c>
      <c r="B672" s="472"/>
      <c r="C672" s="472"/>
      <c r="D672" s="472"/>
      <c r="E672" s="274"/>
      <c r="F672" s="274"/>
      <c r="G672" s="476"/>
      <c r="H672" s="483" t="str">
        <f t="shared" si="40"/>
        <v xml:space="preserve"> </v>
      </c>
      <c r="I672" s="471">
        <f t="shared" si="41"/>
        <v>1667</v>
      </c>
      <c r="J672" s="471">
        <f t="shared" si="42"/>
        <v>0</v>
      </c>
      <c r="K672">
        <f t="shared" si="43"/>
        <v>1</v>
      </c>
    </row>
    <row r="673" spans="1:11" x14ac:dyDescent="0.2">
      <c r="A673" s="472">
        <v>1668</v>
      </c>
      <c r="B673" s="472"/>
      <c r="C673" s="472"/>
      <c r="D673" s="472"/>
      <c r="E673" s="274"/>
      <c r="F673" s="274"/>
      <c r="G673" s="476"/>
      <c r="H673" s="483" t="str">
        <f t="shared" si="40"/>
        <v xml:space="preserve"> </v>
      </c>
      <c r="I673" s="471">
        <f t="shared" si="41"/>
        <v>1668</v>
      </c>
      <c r="J673" s="471">
        <f t="shared" si="42"/>
        <v>0</v>
      </c>
      <c r="K673">
        <f t="shared" si="43"/>
        <v>1</v>
      </c>
    </row>
    <row r="674" spans="1:11" x14ac:dyDescent="0.2">
      <c r="A674" s="472">
        <v>1669</v>
      </c>
      <c r="B674" s="472"/>
      <c r="C674" s="472"/>
      <c r="D674" s="472"/>
      <c r="E674" s="274"/>
      <c r="F674" s="274"/>
      <c r="G674" s="476"/>
      <c r="H674" s="483" t="str">
        <f t="shared" si="40"/>
        <v xml:space="preserve"> </v>
      </c>
      <c r="I674" s="471">
        <f t="shared" si="41"/>
        <v>1669</v>
      </c>
      <c r="J674" s="471">
        <f t="shared" si="42"/>
        <v>0</v>
      </c>
      <c r="K674">
        <f t="shared" si="43"/>
        <v>1</v>
      </c>
    </row>
    <row r="675" spans="1:11" x14ac:dyDescent="0.2">
      <c r="A675" s="472">
        <v>1670</v>
      </c>
      <c r="B675" s="472"/>
      <c r="C675" s="472"/>
      <c r="D675" s="472"/>
      <c r="E675" s="274"/>
      <c r="F675" s="274"/>
      <c r="G675" s="476"/>
      <c r="H675" s="483" t="str">
        <f t="shared" si="40"/>
        <v xml:space="preserve"> </v>
      </c>
      <c r="I675" s="471">
        <f t="shared" si="41"/>
        <v>1670</v>
      </c>
      <c r="J675" s="471">
        <f t="shared" si="42"/>
        <v>0</v>
      </c>
      <c r="K675">
        <f t="shared" si="43"/>
        <v>1</v>
      </c>
    </row>
    <row r="676" spans="1:11" x14ac:dyDescent="0.2">
      <c r="A676" s="472">
        <v>1671</v>
      </c>
      <c r="B676" s="472"/>
      <c r="C676" s="472"/>
      <c r="D676" s="472"/>
      <c r="E676" s="274"/>
      <c r="F676" s="274"/>
      <c r="G676" s="476"/>
      <c r="H676" s="483" t="str">
        <f t="shared" si="40"/>
        <v xml:space="preserve"> </v>
      </c>
      <c r="I676" s="471">
        <f t="shared" si="41"/>
        <v>1671</v>
      </c>
      <c r="J676" s="471">
        <f t="shared" si="42"/>
        <v>0</v>
      </c>
      <c r="K676">
        <f t="shared" si="43"/>
        <v>1</v>
      </c>
    </row>
    <row r="677" spans="1:11" x14ac:dyDescent="0.2">
      <c r="A677" s="472">
        <v>1672</v>
      </c>
      <c r="B677" s="472"/>
      <c r="C677" s="472"/>
      <c r="D677" s="472"/>
      <c r="E677" s="274"/>
      <c r="F677" s="274"/>
      <c r="G677" s="476"/>
      <c r="H677" s="483" t="str">
        <f t="shared" si="40"/>
        <v xml:space="preserve"> </v>
      </c>
      <c r="I677" s="471">
        <f t="shared" si="41"/>
        <v>1672</v>
      </c>
      <c r="J677" s="471">
        <f t="shared" si="42"/>
        <v>0</v>
      </c>
      <c r="K677">
        <f t="shared" si="43"/>
        <v>1</v>
      </c>
    </row>
    <row r="678" spans="1:11" x14ac:dyDescent="0.2">
      <c r="A678" s="472">
        <v>1673</v>
      </c>
      <c r="B678" s="472"/>
      <c r="C678" s="472"/>
      <c r="D678" s="472"/>
      <c r="E678" s="274"/>
      <c r="F678" s="274"/>
      <c r="G678" s="476"/>
      <c r="H678" s="483" t="str">
        <f t="shared" si="40"/>
        <v xml:space="preserve"> </v>
      </c>
      <c r="I678" s="471">
        <f t="shared" si="41"/>
        <v>1673</v>
      </c>
      <c r="J678" s="471">
        <f t="shared" si="42"/>
        <v>0</v>
      </c>
      <c r="K678">
        <f t="shared" si="43"/>
        <v>1</v>
      </c>
    </row>
    <row r="679" spans="1:11" x14ac:dyDescent="0.2">
      <c r="A679" s="472">
        <v>1674</v>
      </c>
      <c r="B679" s="472"/>
      <c r="C679" s="472"/>
      <c r="D679" s="472"/>
      <c r="E679" s="274"/>
      <c r="F679" s="274"/>
      <c r="G679" s="476"/>
      <c r="H679" s="483" t="str">
        <f t="shared" si="40"/>
        <v xml:space="preserve"> </v>
      </c>
      <c r="I679" s="471">
        <f t="shared" si="41"/>
        <v>1674</v>
      </c>
      <c r="J679" s="471">
        <f t="shared" si="42"/>
        <v>0</v>
      </c>
      <c r="K679">
        <f t="shared" si="43"/>
        <v>1</v>
      </c>
    </row>
    <row r="680" spans="1:11" x14ac:dyDescent="0.2">
      <c r="A680" s="472">
        <v>1675</v>
      </c>
      <c r="B680" s="472"/>
      <c r="C680" s="472"/>
      <c r="D680" s="472"/>
      <c r="E680" s="274"/>
      <c r="F680" s="274"/>
      <c r="G680" s="476"/>
      <c r="H680" s="483" t="str">
        <f t="shared" si="40"/>
        <v xml:space="preserve"> </v>
      </c>
      <c r="I680" s="471">
        <f t="shared" si="41"/>
        <v>1675</v>
      </c>
      <c r="J680" s="471">
        <f t="shared" si="42"/>
        <v>0</v>
      </c>
      <c r="K680">
        <f t="shared" si="43"/>
        <v>1</v>
      </c>
    </row>
    <row r="681" spans="1:11" x14ac:dyDescent="0.2">
      <c r="A681" s="472">
        <v>1676</v>
      </c>
      <c r="B681" s="472"/>
      <c r="C681" s="472"/>
      <c r="D681" s="472"/>
      <c r="E681" s="274"/>
      <c r="F681" s="274"/>
      <c r="G681" s="476"/>
      <c r="H681" s="483" t="str">
        <f t="shared" si="40"/>
        <v xml:space="preserve"> </v>
      </c>
      <c r="I681" s="471">
        <f t="shared" si="41"/>
        <v>1676</v>
      </c>
      <c r="J681" s="471">
        <f t="shared" si="42"/>
        <v>0</v>
      </c>
      <c r="K681">
        <f t="shared" si="43"/>
        <v>1</v>
      </c>
    </row>
    <row r="682" spans="1:11" x14ac:dyDescent="0.2">
      <c r="A682" s="472">
        <v>1677</v>
      </c>
      <c r="B682" s="472"/>
      <c r="C682" s="472"/>
      <c r="D682" s="472"/>
      <c r="E682" s="274"/>
      <c r="F682" s="274"/>
      <c r="G682" s="476"/>
      <c r="H682" s="483" t="str">
        <f t="shared" si="40"/>
        <v xml:space="preserve"> </v>
      </c>
      <c r="I682" s="471">
        <f t="shared" si="41"/>
        <v>1677</v>
      </c>
      <c r="J682" s="471">
        <f t="shared" si="42"/>
        <v>0</v>
      </c>
      <c r="K682">
        <f t="shared" si="43"/>
        <v>1</v>
      </c>
    </row>
    <row r="683" spans="1:11" x14ac:dyDescent="0.2">
      <c r="A683" s="472">
        <v>1678</v>
      </c>
      <c r="B683" s="472"/>
      <c r="C683" s="472"/>
      <c r="D683" s="472"/>
      <c r="E683" s="274"/>
      <c r="F683" s="274"/>
      <c r="G683" s="476"/>
      <c r="H683" s="483" t="str">
        <f t="shared" si="40"/>
        <v xml:space="preserve"> </v>
      </c>
      <c r="I683" s="471">
        <f t="shared" si="41"/>
        <v>1678</v>
      </c>
      <c r="J683" s="471">
        <f t="shared" si="42"/>
        <v>0</v>
      </c>
      <c r="K683">
        <f t="shared" si="43"/>
        <v>1</v>
      </c>
    </row>
    <row r="684" spans="1:11" x14ac:dyDescent="0.2">
      <c r="A684" s="472">
        <v>1679</v>
      </c>
      <c r="B684" s="472"/>
      <c r="C684" s="472"/>
      <c r="D684" s="472"/>
      <c r="E684" s="274"/>
      <c r="F684" s="274"/>
      <c r="G684" s="476"/>
      <c r="H684" s="483" t="str">
        <f t="shared" si="40"/>
        <v xml:space="preserve"> </v>
      </c>
      <c r="I684" s="471">
        <f t="shared" si="41"/>
        <v>1679</v>
      </c>
      <c r="J684" s="471">
        <f t="shared" si="42"/>
        <v>0</v>
      </c>
      <c r="K684">
        <f t="shared" si="43"/>
        <v>1</v>
      </c>
    </row>
    <row r="685" spans="1:11" x14ac:dyDescent="0.2">
      <c r="A685" s="472">
        <v>1680</v>
      </c>
      <c r="B685" s="472"/>
      <c r="C685" s="472"/>
      <c r="D685" s="472"/>
      <c r="E685" s="274"/>
      <c r="F685" s="274"/>
      <c r="G685" s="476"/>
      <c r="H685" s="483" t="str">
        <f t="shared" si="40"/>
        <v xml:space="preserve"> </v>
      </c>
      <c r="I685" s="471">
        <f t="shared" si="41"/>
        <v>1680</v>
      </c>
      <c r="J685" s="471">
        <f t="shared" si="42"/>
        <v>0</v>
      </c>
      <c r="K685">
        <f t="shared" si="43"/>
        <v>1</v>
      </c>
    </row>
    <row r="686" spans="1:11" x14ac:dyDescent="0.2">
      <c r="A686" s="472">
        <v>1681</v>
      </c>
      <c r="B686" s="472"/>
      <c r="C686" s="472"/>
      <c r="D686" s="472"/>
      <c r="E686" s="274"/>
      <c r="F686" s="274"/>
      <c r="G686" s="476"/>
      <c r="H686" s="483" t="str">
        <f t="shared" si="40"/>
        <v xml:space="preserve"> </v>
      </c>
      <c r="I686" s="471">
        <f t="shared" si="41"/>
        <v>1681</v>
      </c>
      <c r="J686" s="471">
        <f t="shared" si="42"/>
        <v>0</v>
      </c>
      <c r="K686">
        <f t="shared" si="43"/>
        <v>1</v>
      </c>
    </row>
  </sheetData>
  <sortState ref="A6:K686">
    <sortCondition ref="A6:A68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P235"/>
  <sheetViews>
    <sheetView zoomScale="75" zoomScaleNormal="75" workbookViewId="0">
      <selection activeCell="D10" sqref="D10:E10"/>
    </sheetView>
  </sheetViews>
  <sheetFormatPr defaultRowHeight="12.75" x14ac:dyDescent="0.2"/>
  <cols>
    <col min="1" max="1" width="2.85546875" style="252" customWidth="1"/>
    <col min="2" max="2" width="10.140625" customWidth="1"/>
    <col min="3" max="3" width="10" customWidth="1"/>
    <col min="4" max="4" width="10.140625" bestFit="1" customWidth="1"/>
    <col min="5" max="6" width="7.7109375" customWidth="1"/>
    <col min="7" max="7" width="11.42578125" customWidth="1"/>
    <col min="8" max="8" width="10.140625" customWidth="1"/>
    <col min="9" max="9" width="8.28515625" customWidth="1"/>
    <col min="10" max="10" width="10.5703125" customWidth="1"/>
    <col min="11" max="11" width="7.140625" customWidth="1"/>
    <col min="12" max="12" width="9.140625" customWidth="1"/>
    <col min="13" max="13" width="8.28515625" customWidth="1"/>
    <col min="14" max="14" width="7.7109375" customWidth="1"/>
    <col min="15" max="15" width="8.5703125" customWidth="1"/>
    <col min="16" max="16" width="7.7109375" customWidth="1"/>
    <col min="17" max="17" width="8.5703125" customWidth="1"/>
    <col min="18" max="18" width="9.42578125" customWidth="1"/>
    <col min="19" max="19" width="9.5703125" customWidth="1"/>
    <col min="20" max="20" width="7.5703125" customWidth="1"/>
    <col min="21" max="21" width="9.85546875" customWidth="1"/>
    <col min="22" max="23" width="10.140625" customWidth="1"/>
    <col min="24" max="24" width="9.42578125" customWidth="1"/>
    <col min="25" max="25" width="14.42578125" customWidth="1"/>
    <col min="26" max="26" width="29.140625" customWidth="1"/>
    <col min="27" max="27" width="41" hidden="1" customWidth="1"/>
    <col min="28" max="28" width="15.42578125" hidden="1" customWidth="1"/>
    <col min="29" max="32" width="12.7109375" hidden="1" customWidth="1"/>
    <col min="33" max="33" width="16.7109375" hidden="1" customWidth="1"/>
    <col min="34" max="34" width="13.42578125" style="1" hidden="1" customWidth="1"/>
    <col min="35" max="35" width="24.28515625" hidden="1" customWidth="1"/>
    <col min="36" max="36" width="24.28515625" style="337" hidden="1" customWidth="1"/>
    <col min="37" max="37" width="16.140625" style="206" hidden="1" customWidth="1"/>
    <col min="38" max="38" width="7.140625" style="206" hidden="1" customWidth="1"/>
    <col min="39" max="39" width="11.42578125" hidden="1" customWidth="1"/>
    <col min="40" max="40" width="16.42578125" style="27" hidden="1" customWidth="1"/>
    <col min="41" max="41" width="5.140625" hidden="1" customWidth="1"/>
    <col min="42" max="42" width="7" hidden="1" customWidth="1"/>
    <col min="43" max="43" width="6" hidden="1" customWidth="1"/>
    <col min="44" max="44" width="28.140625" hidden="1" customWidth="1"/>
    <col min="45" max="45" width="25.85546875" hidden="1" customWidth="1"/>
    <col min="46" max="46" width="30.140625" hidden="1" customWidth="1"/>
    <col min="47" max="47" width="9.140625" hidden="1" customWidth="1"/>
    <col min="48" max="48" width="30.140625" hidden="1" customWidth="1"/>
    <col min="49" max="49" width="26.7109375" hidden="1" customWidth="1"/>
    <col min="50" max="50" width="24.28515625" hidden="1" customWidth="1"/>
    <col min="51" max="51" width="25.140625" style="1" hidden="1" customWidth="1"/>
    <col min="52" max="52" width="23.28515625" style="1" hidden="1" customWidth="1"/>
    <col min="53" max="54" width="25.140625" style="1" hidden="1" customWidth="1"/>
    <col min="55" max="55" width="22.7109375" hidden="1" customWidth="1"/>
    <col min="56" max="56" width="20.5703125" hidden="1" customWidth="1"/>
    <col min="57" max="57" width="27.28515625" hidden="1" customWidth="1"/>
    <col min="58" max="58" width="20.5703125" hidden="1" customWidth="1"/>
    <col min="59" max="59" width="28.140625" hidden="1" customWidth="1"/>
    <col min="60" max="60" width="21.85546875" hidden="1" customWidth="1"/>
    <col min="61" max="61" width="23.140625" hidden="1" customWidth="1"/>
    <col min="62" max="62" width="17.28515625" hidden="1" customWidth="1"/>
    <col min="63" max="63" width="26.7109375" hidden="1" customWidth="1"/>
    <col min="64" max="65" width="26.7109375" customWidth="1"/>
    <col min="66" max="66" width="21.42578125" style="1" customWidth="1"/>
    <col min="67" max="67" width="19" style="1" customWidth="1"/>
    <col min="68" max="68" width="28" customWidth="1"/>
    <col min="69" max="69" width="40.85546875" customWidth="1"/>
    <col min="70" max="70" width="39.5703125" customWidth="1"/>
    <col min="71" max="71" width="26" customWidth="1"/>
    <col min="72" max="79" width="9.140625" customWidth="1"/>
  </cols>
  <sheetData>
    <row r="1" spans="1:68" ht="28.5" customHeight="1" thickBot="1" x14ac:dyDescent="0.4">
      <c r="AA1" s="440"/>
      <c r="AB1" s="440"/>
      <c r="AC1" s="441" t="s">
        <v>308</v>
      </c>
      <c r="AD1" s="441"/>
      <c r="AE1" s="441"/>
      <c r="AF1" s="440"/>
      <c r="AG1" s="440"/>
      <c r="AH1" s="442"/>
      <c r="AI1" s="440"/>
      <c r="AJ1" s="440"/>
      <c r="AK1" s="443"/>
      <c r="AL1" s="443"/>
      <c r="AM1" s="440"/>
      <c r="AN1" s="444"/>
      <c r="AO1" s="440"/>
      <c r="AP1" s="440"/>
      <c r="AQ1" s="440"/>
      <c r="AR1" s="440"/>
      <c r="AS1" s="440"/>
      <c r="AT1" s="440"/>
      <c r="AU1" s="440"/>
      <c r="AV1" s="440"/>
      <c r="AW1" s="440"/>
      <c r="AX1" s="440"/>
      <c r="AY1" s="442"/>
      <c r="AZ1" s="442"/>
      <c r="BA1" s="442"/>
      <c r="BB1" s="442"/>
      <c r="BC1" s="440"/>
      <c r="BD1" s="440"/>
      <c r="BE1" s="440"/>
      <c r="BF1" s="440"/>
      <c r="BG1" s="440"/>
      <c r="BH1" s="440"/>
      <c r="BI1" s="440"/>
      <c r="BJ1" s="440"/>
      <c r="BK1" s="440"/>
    </row>
    <row r="2" spans="1:68" x14ac:dyDescent="0.2">
      <c r="B2" s="34"/>
      <c r="C2" s="35"/>
      <c r="D2" s="35"/>
      <c r="E2" s="35"/>
      <c r="F2" s="35"/>
      <c r="G2" s="35"/>
      <c r="H2" s="35"/>
      <c r="I2" s="35"/>
      <c r="J2" s="35"/>
      <c r="K2" s="35"/>
      <c r="L2" s="35"/>
      <c r="M2" s="35"/>
      <c r="N2" s="35"/>
      <c r="O2" s="35"/>
      <c r="P2" s="35"/>
      <c r="Q2" s="35"/>
      <c r="R2" s="35"/>
      <c r="S2" s="35"/>
      <c r="T2" s="35"/>
      <c r="U2" s="35"/>
      <c r="V2" s="35"/>
      <c r="W2" s="35"/>
      <c r="X2" s="35"/>
      <c r="Y2" s="35"/>
      <c r="Z2" s="36"/>
      <c r="AA2" s="36"/>
      <c r="AC2" s="332" t="s">
        <v>364</v>
      </c>
      <c r="AD2" s="333"/>
      <c r="AE2" s="333"/>
    </row>
    <row r="3" spans="1:68" ht="13.5" customHeight="1" thickBot="1" x14ac:dyDescent="0.3">
      <c r="B3" s="8"/>
      <c r="C3" s="9"/>
      <c r="D3" s="9"/>
      <c r="E3" s="9"/>
      <c r="F3" s="9"/>
      <c r="G3" s="9"/>
      <c r="H3" s="9"/>
      <c r="I3" s="9"/>
      <c r="J3" s="492" t="s">
        <v>401</v>
      </c>
      <c r="K3" s="492"/>
      <c r="L3" s="492"/>
      <c r="M3" s="492"/>
      <c r="N3" s="492"/>
      <c r="O3" s="492"/>
      <c r="P3" s="492"/>
      <c r="Q3" s="492"/>
      <c r="R3" s="9"/>
      <c r="S3" s="9"/>
      <c r="T3" s="9"/>
      <c r="U3" s="9"/>
      <c r="V3" s="9"/>
      <c r="W3" s="9"/>
      <c r="X3" s="9"/>
      <c r="Y3" s="9"/>
      <c r="Z3" s="37"/>
      <c r="AA3" s="37"/>
      <c r="AC3" s="374" t="s">
        <v>321</v>
      </c>
      <c r="AD3" s="274"/>
      <c r="AE3" s="274"/>
      <c r="AF3" s="274"/>
      <c r="AG3" s="274"/>
      <c r="AH3" s="274"/>
      <c r="AI3" s="274"/>
      <c r="AJ3" s="274"/>
    </row>
    <row r="4" spans="1:68" ht="13.5" customHeight="1" thickBot="1" x14ac:dyDescent="0.3">
      <c r="B4" s="8"/>
      <c r="C4" s="9"/>
      <c r="D4" s="9"/>
      <c r="E4" s="9"/>
      <c r="F4" s="9"/>
      <c r="G4" s="9"/>
      <c r="H4" s="9"/>
      <c r="I4" s="9"/>
      <c r="J4" s="492" t="s">
        <v>402</v>
      </c>
      <c r="K4" s="492"/>
      <c r="L4" s="492"/>
      <c r="M4" s="492"/>
      <c r="N4" s="492"/>
      <c r="O4" s="492"/>
      <c r="P4" s="492"/>
      <c r="Q4" s="492"/>
      <c r="R4" s="9"/>
      <c r="S4" s="9"/>
      <c r="T4" s="9"/>
      <c r="U4" s="9"/>
      <c r="V4" s="9"/>
      <c r="W4" s="9"/>
      <c r="X4" s="9"/>
      <c r="Y4" s="9"/>
      <c r="Z4" s="37"/>
      <c r="AA4" s="37"/>
      <c r="AD4" s="333"/>
      <c r="AE4" s="333"/>
      <c r="AF4" s="333"/>
      <c r="AG4" s="109" t="s">
        <v>82</v>
      </c>
      <c r="AH4" s="336">
        <f>AH5</f>
        <v>43757</v>
      </c>
      <c r="AI4" s="331" t="s">
        <v>307</v>
      </c>
      <c r="AJ4" s="339"/>
    </row>
    <row r="5" spans="1:68" ht="13.5" thickBot="1" x14ac:dyDescent="0.25">
      <c r="B5" s="38"/>
      <c r="C5" s="9"/>
      <c r="D5" s="9"/>
      <c r="E5" s="9"/>
      <c r="F5" s="9"/>
      <c r="G5" s="9"/>
      <c r="H5" s="9"/>
      <c r="I5" s="9"/>
      <c r="J5" s="9"/>
      <c r="K5" s="9"/>
      <c r="L5" s="9"/>
      <c r="N5" s="9"/>
      <c r="O5" s="9"/>
      <c r="P5" s="9"/>
      <c r="Q5" s="9"/>
      <c r="R5" s="9"/>
      <c r="S5" s="9"/>
      <c r="T5" s="9"/>
      <c r="U5" s="9"/>
      <c r="V5" s="9"/>
      <c r="W5" s="9"/>
      <c r="X5" s="9"/>
      <c r="Y5" s="9"/>
      <c r="Z5" s="37"/>
      <c r="AA5" s="37"/>
      <c r="AG5" s="110" t="s">
        <v>82</v>
      </c>
      <c r="AH5" s="335">
        <v>43757</v>
      </c>
      <c r="AI5" s="43"/>
      <c r="AJ5" s="33"/>
      <c r="AM5" s="82" t="s">
        <v>251</v>
      </c>
    </row>
    <row r="6" spans="1:68" ht="15.75" x14ac:dyDescent="0.25">
      <c r="B6" s="39"/>
      <c r="C6" s="9"/>
      <c r="D6" s="9"/>
      <c r="E6" s="9"/>
      <c r="F6" s="9"/>
      <c r="G6" s="9"/>
      <c r="H6" s="9"/>
      <c r="I6" s="9"/>
      <c r="J6" s="491" t="s">
        <v>322</v>
      </c>
      <c r="K6" s="491"/>
      <c r="L6" s="491"/>
      <c r="M6" s="491"/>
      <c r="N6" s="491"/>
      <c r="O6" s="491"/>
      <c r="P6" s="491"/>
      <c r="Q6" s="491"/>
      <c r="R6" s="9"/>
      <c r="S6" s="9"/>
      <c r="T6" s="9"/>
      <c r="U6" s="9"/>
      <c r="V6" s="9"/>
      <c r="W6" s="9"/>
      <c r="X6" s="9"/>
      <c r="Y6" s="9"/>
      <c r="Z6" s="37"/>
      <c r="AA6" s="37"/>
      <c r="AG6" s="26">
        <f>EDATE(Q_Date,-120)</f>
        <v>40105</v>
      </c>
      <c r="AH6" s="273">
        <f>AG6</f>
        <v>40105</v>
      </c>
      <c r="AI6" s="266" t="s">
        <v>272</v>
      </c>
      <c r="AJ6" s="340"/>
      <c r="AM6" s="206">
        <f>Q_Date-AH6</f>
        <v>3652</v>
      </c>
      <c r="BP6" s="266"/>
    </row>
    <row r="7" spans="1:68" ht="13.5" x14ac:dyDescent="0.25">
      <c r="B7" s="8"/>
      <c r="C7" s="9"/>
      <c r="D7" s="9"/>
      <c r="E7" s="9"/>
      <c r="F7" s="9"/>
      <c r="G7" s="9"/>
      <c r="H7" s="9"/>
      <c r="I7" s="9"/>
      <c r="J7" s="9"/>
      <c r="K7" s="9"/>
      <c r="L7" s="9"/>
      <c r="N7" s="9"/>
      <c r="O7" s="9"/>
      <c r="P7" s="9"/>
      <c r="Q7" s="9"/>
      <c r="R7" s="9"/>
      <c r="S7" s="415" t="s">
        <v>345</v>
      </c>
      <c r="T7" s="384"/>
      <c r="U7" s="416" t="s">
        <v>346</v>
      </c>
      <c r="V7" s="384"/>
      <c r="W7" s="417" t="s">
        <v>347</v>
      </c>
      <c r="X7" s="9"/>
      <c r="Y7" s="9"/>
      <c r="Z7" s="37"/>
      <c r="AA7" s="37"/>
      <c r="AC7" s="26"/>
      <c r="AD7" s="26"/>
      <c r="AE7" s="26"/>
      <c r="AF7" s="26"/>
      <c r="AG7" s="26">
        <f>EDATE($AH5,-144)+1</f>
        <v>39375</v>
      </c>
      <c r="AH7" s="273">
        <f>AG7</f>
        <v>39375</v>
      </c>
      <c r="AI7" s="81" t="s">
        <v>249</v>
      </c>
      <c r="AJ7" s="341"/>
      <c r="AM7" s="206">
        <f>Q_Date-AH7</f>
        <v>4382</v>
      </c>
    </row>
    <row r="8" spans="1:68" ht="15" customHeight="1" x14ac:dyDescent="0.25">
      <c r="B8" s="38"/>
      <c r="C8" s="9"/>
      <c r="D8" s="493" t="s">
        <v>348</v>
      </c>
      <c r="E8" s="493"/>
      <c r="F8" s="493"/>
      <c r="G8" s="493"/>
      <c r="H8" s="493"/>
      <c r="I8" s="493"/>
      <c r="J8" s="493"/>
      <c r="K8" s="493"/>
      <c r="L8" s="493"/>
      <c r="M8" s="493"/>
      <c r="N8" s="493"/>
      <c r="O8" s="493"/>
      <c r="P8" s="493"/>
      <c r="Q8" s="493"/>
      <c r="R8" s="493"/>
      <c r="S8" s="493"/>
      <c r="T8" s="493"/>
      <c r="U8" s="493"/>
      <c r="V8" s="493"/>
      <c r="W8" s="382"/>
      <c r="X8" s="9"/>
      <c r="Y8" s="9"/>
      <c r="Z8" s="37"/>
      <c r="AA8" s="203" t="s">
        <v>325</v>
      </c>
      <c r="AB8" s="1"/>
      <c r="AG8" s="205">
        <f>EDATE($AG7,-24)</f>
        <v>38645</v>
      </c>
      <c r="AH8" s="273">
        <f>AG8</f>
        <v>38645</v>
      </c>
      <c r="AI8" s="81" t="s">
        <v>250</v>
      </c>
      <c r="AJ8" s="341"/>
      <c r="AM8" s="206">
        <f>Q_Date-AH8</f>
        <v>5112</v>
      </c>
    </row>
    <row r="9" spans="1:68" ht="16.5" thickBot="1" x14ac:dyDescent="0.25">
      <c r="B9" s="39"/>
      <c r="C9" s="9"/>
      <c r="D9" s="9"/>
      <c r="E9" s="9"/>
      <c r="F9" s="9"/>
      <c r="G9" s="9"/>
      <c r="H9" s="9"/>
      <c r="I9" s="9"/>
      <c r="J9" s="9"/>
      <c r="K9" s="9"/>
      <c r="L9" s="9"/>
      <c r="M9" s="9"/>
      <c r="N9" s="9"/>
      <c r="O9" s="9"/>
      <c r="P9" s="9"/>
      <c r="Q9" s="9"/>
      <c r="R9" s="9"/>
      <c r="S9" s="9"/>
      <c r="T9" s="9"/>
      <c r="U9" s="9"/>
      <c r="V9" s="9"/>
      <c r="W9" s="9"/>
      <c r="X9" s="9"/>
      <c r="Y9" s="9"/>
      <c r="Z9" s="37" t="s">
        <v>81</v>
      </c>
      <c r="AA9" s="203" t="s">
        <v>324</v>
      </c>
      <c r="AC9" s="332" t="s">
        <v>380</v>
      </c>
      <c r="AD9" s="333"/>
      <c r="AE9" s="333"/>
      <c r="AF9" s="333"/>
      <c r="AG9" s="333"/>
      <c r="AJ9"/>
      <c r="AK9"/>
      <c r="AL9"/>
      <c r="AN9"/>
      <c r="AO9" s="1"/>
      <c r="AP9" s="1"/>
      <c r="AQ9" s="1"/>
      <c r="AR9" s="1"/>
      <c r="AY9"/>
      <c r="AZ9"/>
      <c r="BA9"/>
      <c r="BB9"/>
      <c r="BE9" s="1"/>
      <c r="BF9" s="1"/>
      <c r="BN9"/>
      <c r="BO9"/>
    </row>
    <row r="10" spans="1:68" ht="20.25" customHeight="1" thickBot="1" x14ac:dyDescent="0.25">
      <c r="B10" s="529" t="s">
        <v>121</v>
      </c>
      <c r="C10" s="530"/>
      <c r="D10" s="525"/>
      <c r="E10" s="526"/>
      <c r="F10" s="497" t="s">
        <v>120</v>
      </c>
      <c r="G10" s="498"/>
      <c r="H10" s="498"/>
      <c r="I10" s="535"/>
      <c r="J10" s="532"/>
      <c r="K10" s="532"/>
      <c r="L10" s="532"/>
      <c r="M10" s="498" t="s">
        <v>330</v>
      </c>
      <c r="N10" s="527"/>
      <c r="O10" s="531"/>
      <c r="P10" s="532"/>
      <c r="Q10" s="532"/>
      <c r="R10" s="532"/>
      <c r="S10" s="532"/>
      <c r="T10" s="498" t="s">
        <v>154</v>
      </c>
      <c r="U10" s="527"/>
      <c r="V10" s="494"/>
      <c r="W10" s="495"/>
      <c r="X10" s="495"/>
      <c r="Y10" s="496"/>
      <c r="Z10" s="40" t="str">
        <f>IF(COUNTBLANK(B17:C43)=54,"",IF(D10="","Team Type Omitted",IF(AND(D10=5,COUNTBLANK(V10)=1),"County Name Omitted",IF(D10&lt;4,(IF(OR(COUNTBLANK(I10)=1,COUNTBLANK(O10)=1,COUNTBLANK(V10)=1),"Team Name Omitted or incomplete","")),IF(D10=4,IF(OR(COUNTBLANK(O10)=1,COUNTBLANK(V10)=1),"Team Name Omitted or Incomplete",""),"")))))</f>
        <v/>
      </c>
      <c r="AA10" s="203" t="s">
        <v>33</v>
      </c>
      <c r="AC10" s="445" t="s">
        <v>379</v>
      </c>
      <c r="AD10" s="446"/>
      <c r="AE10" s="447"/>
      <c r="AF10" s="447"/>
      <c r="AG10" s="447"/>
      <c r="AH10" s="448"/>
      <c r="AJ10"/>
      <c r="AK10"/>
      <c r="AL10"/>
      <c r="AN10" s="1"/>
      <c r="AO10" s="1"/>
      <c r="AP10" s="1"/>
      <c r="AQ10" s="1"/>
      <c r="AY10"/>
      <c r="AZ10"/>
      <c r="BA10"/>
      <c r="BB10"/>
      <c r="BD10" s="1"/>
      <c r="BE10" s="1"/>
      <c r="BN10"/>
      <c r="BO10"/>
    </row>
    <row r="11" spans="1:68" ht="16.5" x14ac:dyDescent="0.25">
      <c r="B11" s="523"/>
      <c r="C11" s="524"/>
      <c r="D11" s="35"/>
      <c r="E11" s="35"/>
      <c r="F11" s="35"/>
      <c r="G11" s="35"/>
      <c r="H11" s="35"/>
      <c r="I11" s="35"/>
      <c r="J11" s="35"/>
      <c r="K11" s="35"/>
      <c r="L11" s="35"/>
      <c r="M11" s="502" t="s">
        <v>417</v>
      </c>
      <c r="N11" s="503"/>
      <c r="O11" s="503"/>
      <c r="P11" s="503"/>
      <c r="Q11" s="503"/>
      <c r="R11" s="503"/>
      <c r="S11" s="503"/>
      <c r="T11" s="503"/>
      <c r="U11" s="503"/>
      <c r="V11" s="503"/>
      <c r="W11" s="503"/>
      <c r="X11" s="503"/>
      <c r="Y11" s="504"/>
      <c r="Z11" s="37"/>
      <c r="AA11" s="203" t="s">
        <v>34</v>
      </c>
      <c r="AC11" s="449" t="s">
        <v>376</v>
      </c>
      <c r="AD11" s="450"/>
      <c r="AE11" s="450"/>
      <c r="AF11" s="450"/>
      <c r="AG11" s="450"/>
      <c r="AH11" s="451"/>
      <c r="AJ11"/>
      <c r="AK11"/>
      <c r="AL11"/>
      <c r="AN11" s="1"/>
      <c r="AO11" s="1"/>
      <c r="AP11" s="1"/>
      <c r="AQ11" s="1"/>
      <c r="AY11"/>
      <c r="AZ11"/>
      <c r="BA11"/>
      <c r="BB11"/>
      <c r="BD11" s="1"/>
      <c r="BE11" s="1"/>
      <c r="BN11"/>
      <c r="BO11"/>
    </row>
    <row r="12" spans="1:68" ht="15" customHeight="1" x14ac:dyDescent="0.25">
      <c r="B12" s="533" t="s">
        <v>1</v>
      </c>
      <c r="C12" s="534"/>
      <c r="D12" s="4"/>
      <c r="E12" s="22"/>
      <c r="F12" s="485"/>
      <c r="G12" s="2"/>
      <c r="H12" s="2"/>
      <c r="I12" s="2"/>
      <c r="J12" s="4"/>
      <c r="K12" s="4"/>
      <c r="L12" s="4"/>
      <c r="M12" s="512" t="s">
        <v>8</v>
      </c>
      <c r="N12" s="513"/>
      <c r="O12" s="513"/>
      <c r="P12" s="513"/>
      <c r="Q12" s="513"/>
      <c r="R12" s="513"/>
      <c r="S12" s="513"/>
      <c r="T12" s="513"/>
      <c r="U12" s="514"/>
      <c r="V12" s="512" t="s">
        <v>9</v>
      </c>
      <c r="W12" s="513"/>
      <c r="X12" s="513"/>
      <c r="Y12" s="514"/>
      <c r="Z12" s="37"/>
      <c r="AA12" s="213" t="s">
        <v>69</v>
      </c>
      <c r="AC12" s="449" t="s">
        <v>377</v>
      </c>
      <c r="AD12" s="450"/>
      <c r="AE12" s="450"/>
      <c r="AF12" s="450"/>
      <c r="AG12" s="450"/>
      <c r="AH12" s="451"/>
      <c r="AJ12"/>
      <c r="AK12"/>
      <c r="AL12"/>
      <c r="AN12" s="1"/>
      <c r="AO12" s="1"/>
      <c r="AP12" s="1"/>
      <c r="AQ12" s="1"/>
      <c r="AY12"/>
      <c r="AZ12"/>
      <c r="BA12"/>
      <c r="BB12"/>
      <c r="BD12" s="1"/>
      <c r="BE12" s="1"/>
      <c r="BN12"/>
      <c r="BO12"/>
    </row>
    <row r="13" spans="1:68" ht="15" customHeight="1" x14ac:dyDescent="0.25">
      <c r="B13" s="508" t="s">
        <v>315</v>
      </c>
      <c r="C13" s="528"/>
      <c r="D13" s="164"/>
      <c r="E13" s="22"/>
      <c r="F13" s="22"/>
      <c r="G13" s="431" t="s">
        <v>198</v>
      </c>
      <c r="H13" s="2"/>
      <c r="I13" s="2"/>
      <c r="J13" s="4"/>
      <c r="K13" s="4"/>
      <c r="L13" s="431" t="s">
        <v>219</v>
      </c>
      <c r="M13" s="456" t="s">
        <v>385</v>
      </c>
      <c r="N13" s="456" t="s">
        <v>387</v>
      </c>
      <c r="O13" s="456" t="s">
        <v>188</v>
      </c>
      <c r="P13" s="508" t="s">
        <v>13</v>
      </c>
      <c r="Q13" s="510"/>
      <c r="R13" s="457" t="s">
        <v>233</v>
      </c>
      <c r="S13" s="508" t="s">
        <v>16</v>
      </c>
      <c r="T13" s="509"/>
      <c r="U13" s="510"/>
      <c r="V13" s="517" t="s">
        <v>381</v>
      </c>
      <c r="W13" s="518"/>
      <c r="X13" s="519" t="s">
        <v>18</v>
      </c>
      <c r="Y13" s="519" t="s">
        <v>20</v>
      </c>
      <c r="Z13" s="37"/>
      <c r="AA13" s="488" t="s">
        <v>415</v>
      </c>
      <c r="AC13" s="452" t="s">
        <v>378</v>
      </c>
      <c r="AD13" s="453"/>
      <c r="AE13" s="453"/>
      <c r="AF13" s="453"/>
      <c r="AG13" s="453"/>
      <c r="AH13" s="454"/>
      <c r="AI13" s="9"/>
      <c r="AJ13"/>
      <c r="AK13"/>
      <c r="AL13"/>
      <c r="AN13" s="1"/>
      <c r="AO13" s="1"/>
      <c r="AP13" s="1"/>
      <c r="AQ13" s="1"/>
      <c r="AY13"/>
      <c r="AZ13"/>
      <c r="BA13"/>
      <c r="BB13"/>
      <c r="BD13" s="1"/>
      <c r="BE13" s="1"/>
      <c r="BN13"/>
      <c r="BO13"/>
    </row>
    <row r="14" spans="1:68" ht="30.75" customHeight="1" x14ac:dyDescent="0.25">
      <c r="B14" s="521" t="s">
        <v>316</v>
      </c>
      <c r="C14" s="522"/>
      <c r="D14" s="4"/>
      <c r="E14" s="4"/>
      <c r="F14" s="4"/>
      <c r="G14" s="431" t="s">
        <v>218</v>
      </c>
      <c r="H14" s="431" t="s">
        <v>216</v>
      </c>
      <c r="I14" s="431"/>
      <c r="J14" s="4"/>
      <c r="K14" s="4"/>
      <c r="L14" s="431" t="s">
        <v>220</v>
      </c>
      <c r="M14" s="455" t="s">
        <v>384</v>
      </c>
      <c r="N14" s="455" t="s">
        <v>386</v>
      </c>
      <c r="O14" s="455" t="s">
        <v>388</v>
      </c>
      <c r="P14" s="511" t="s">
        <v>14</v>
      </c>
      <c r="Q14" s="510"/>
      <c r="R14" s="6"/>
      <c r="S14" s="511" t="s">
        <v>17</v>
      </c>
      <c r="T14" s="509"/>
      <c r="U14" s="510"/>
      <c r="V14" s="517"/>
      <c r="W14" s="518"/>
      <c r="X14" s="520"/>
      <c r="Y14" s="520"/>
      <c r="Z14" s="3"/>
      <c r="AA14" s="210" t="s">
        <v>40</v>
      </c>
      <c r="AC14" s="27"/>
      <c r="AH14"/>
      <c r="AJ14"/>
      <c r="AK14"/>
      <c r="AL14"/>
      <c r="AN14" s="1"/>
      <c r="AO14" s="1"/>
      <c r="AP14" s="1"/>
      <c r="AQ14" s="1"/>
      <c r="AY14"/>
      <c r="AZ14"/>
      <c r="BA14"/>
      <c r="BB14"/>
      <c r="BD14" s="1"/>
      <c r="BE14" s="1"/>
      <c r="BN14"/>
      <c r="BO14"/>
    </row>
    <row r="15" spans="1:68" s="17" customFormat="1" ht="72" customHeight="1" x14ac:dyDescent="0.25">
      <c r="A15" s="253"/>
      <c r="B15" s="158" t="s">
        <v>21</v>
      </c>
      <c r="C15" s="431" t="s">
        <v>22</v>
      </c>
      <c r="D15" s="431" t="s">
        <v>2</v>
      </c>
      <c r="E15" s="431" t="s">
        <v>3</v>
      </c>
      <c r="F15" s="465" t="s">
        <v>413</v>
      </c>
      <c r="G15" s="431" t="s">
        <v>215</v>
      </c>
      <c r="H15" s="431" t="s">
        <v>217</v>
      </c>
      <c r="I15" s="431" t="s">
        <v>323</v>
      </c>
      <c r="J15" s="431" t="s">
        <v>4</v>
      </c>
      <c r="K15" s="431" t="s">
        <v>5</v>
      </c>
      <c r="L15" s="431" t="s">
        <v>221</v>
      </c>
      <c r="M15" s="10" t="s">
        <v>382</v>
      </c>
      <c r="O15" s="10" t="s">
        <v>383</v>
      </c>
      <c r="P15" s="10" t="s">
        <v>23</v>
      </c>
      <c r="Q15" s="10" t="s">
        <v>24</v>
      </c>
      <c r="R15" s="10" t="s">
        <v>389</v>
      </c>
      <c r="S15" s="160" t="s">
        <v>123</v>
      </c>
      <c r="T15" s="161" t="s">
        <v>124</v>
      </c>
      <c r="U15" s="162" t="s">
        <v>30</v>
      </c>
      <c r="V15" s="163" t="s">
        <v>362</v>
      </c>
      <c r="W15" s="163" t="s">
        <v>363</v>
      </c>
      <c r="X15" s="163" t="s">
        <v>214</v>
      </c>
      <c r="Y15" s="432" t="str">
        <f>CONCATENATE("Class (One class only may be entered) £",'Cost Calc'!AD8," (B)")</f>
        <v>Class (One class only may be entered) £8 (B)</v>
      </c>
      <c r="Z15" s="41"/>
      <c r="AA15" s="203" t="s">
        <v>41</v>
      </c>
      <c r="AC15" s="28"/>
      <c r="AD15" s="208"/>
      <c r="AE15" s="209" t="s">
        <v>311</v>
      </c>
      <c r="AF15" s="12" t="s">
        <v>313</v>
      </c>
      <c r="AG15" s="12" t="s">
        <v>312</v>
      </c>
      <c r="AH15" s="209" t="s">
        <v>126</v>
      </c>
      <c r="AI15" s="12" t="s">
        <v>314</v>
      </c>
      <c r="AJ15" s="12" t="s">
        <v>367</v>
      </c>
      <c r="BD15" s="1"/>
      <c r="BE15" s="1"/>
    </row>
    <row r="16" spans="1:68" ht="16.5" customHeight="1" thickBot="1" x14ac:dyDescent="0.3">
      <c r="B16" s="18"/>
      <c r="C16" s="19"/>
      <c r="D16" s="19"/>
      <c r="E16" s="19"/>
      <c r="F16" s="19"/>
      <c r="G16" s="19"/>
      <c r="H16" s="19"/>
      <c r="I16" s="19"/>
      <c r="J16" s="19"/>
      <c r="K16" s="19"/>
      <c r="L16" s="350"/>
      <c r="M16" s="268">
        <f>'Cost Calc'!P8</f>
        <v>4</v>
      </c>
      <c r="N16" s="268">
        <f>'Cost Calc'!Q8</f>
        <v>4</v>
      </c>
      <c r="O16" s="268">
        <f>'Cost Calc'!R8</f>
        <v>4</v>
      </c>
      <c r="P16" s="268">
        <f>'Cost Calc'!S8</f>
        <v>6.5</v>
      </c>
      <c r="Q16" s="268">
        <f>'Cost Calc'!T8</f>
        <v>6.5</v>
      </c>
      <c r="R16" s="268">
        <f>'Cost Calc'!U8</f>
        <v>4</v>
      </c>
      <c r="S16" s="505">
        <f>'Cost Calc'!V8</f>
        <v>10</v>
      </c>
      <c r="T16" s="506"/>
      <c r="U16" s="507"/>
      <c r="V16" s="515">
        <f>'Cost Calc'!Y8</f>
        <v>4</v>
      </c>
      <c r="W16" s="516"/>
      <c r="X16" s="268">
        <f>'Cost Calc'!AA8</f>
        <v>16.5</v>
      </c>
      <c r="Y16" s="10" t="str">
        <f>CONCATENATE("or £",'Cost Calc'!AC8," (A&amp;X)")</f>
        <v>or £9.5 (A&amp;X)</v>
      </c>
      <c r="Z16" s="430"/>
      <c r="AA16" s="203" t="s">
        <v>42</v>
      </c>
      <c r="AB16" s="214" t="s">
        <v>256</v>
      </c>
      <c r="AC16" s="215" t="s">
        <v>255</v>
      </c>
      <c r="AD16" s="216" t="s">
        <v>70</v>
      </c>
      <c r="AE16" s="217" t="s">
        <v>127</v>
      </c>
      <c r="AF16" s="218"/>
      <c r="AG16" s="218"/>
      <c r="AH16" s="217" t="s">
        <v>127</v>
      </c>
      <c r="AI16" s="218"/>
      <c r="AJ16" s="218"/>
      <c r="AK16" s="219" t="s">
        <v>71</v>
      </c>
      <c r="AL16" s="263" t="s">
        <v>72</v>
      </c>
      <c r="AM16" s="263" t="s">
        <v>398</v>
      </c>
      <c r="AN16" s="270" t="s">
        <v>278</v>
      </c>
      <c r="AO16" s="270" t="s">
        <v>411</v>
      </c>
      <c r="AP16" s="270" t="s">
        <v>274</v>
      </c>
      <c r="AQ16" s="270" t="s">
        <v>412</v>
      </c>
      <c r="AR16" s="263" t="s">
        <v>276</v>
      </c>
      <c r="AS16" s="263" t="s">
        <v>279</v>
      </c>
      <c r="AT16" s="263" t="s">
        <v>280</v>
      </c>
      <c r="AU16" s="220" t="s">
        <v>125</v>
      </c>
      <c r="AV16" s="220" t="s">
        <v>248</v>
      </c>
      <c r="AW16" s="219" t="s">
        <v>74</v>
      </c>
      <c r="AX16" s="220" t="s">
        <v>197</v>
      </c>
      <c r="AY16" s="219" t="s">
        <v>75</v>
      </c>
      <c r="AZ16" s="263" t="s">
        <v>392</v>
      </c>
      <c r="BA16" s="263" t="s">
        <v>393</v>
      </c>
      <c r="BB16" s="263" t="s">
        <v>268</v>
      </c>
      <c r="BC16" s="263" t="s">
        <v>355</v>
      </c>
      <c r="BD16" s="343" t="s">
        <v>73</v>
      </c>
      <c r="BE16" s="343" t="s">
        <v>76</v>
      </c>
      <c r="BF16" s="344" t="s">
        <v>77</v>
      </c>
      <c r="BG16" s="344" t="s">
        <v>107</v>
      </c>
      <c r="BH16" s="346" t="s">
        <v>309</v>
      </c>
      <c r="BN16"/>
      <c r="BO16"/>
    </row>
    <row r="17" spans="1:67" ht="13.5" x14ac:dyDescent="0.25">
      <c r="A17" s="254"/>
      <c r="B17" s="54"/>
      <c r="C17" s="55"/>
      <c r="D17" s="56"/>
      <c r="E17" s="100"/>
      <c r="F17" s="100"/>
      <c r="G17" s="58"/>
      <c r="H17" s="267"/>
      <c r="I17" s="267"/>
      <c r="J17" s="57"/>
      <c r="K17" s="57"/>
      <c r="L17" s="57"/>
      <c r="M17" s="57"/>
      <c r="N17" s="57"/>
      <c r="O17" s="57"/>
      <c r="P17" s="57"/>
      <c r="Q17" s="57"/>
      <c r="R17" s="57"/>
      <c r="S17" s="351"/>
      <c r="T17" s="352"/>
      <c r="U17" s="353"/>
      <c r="V17" s="383"/>
      <c r="W17" s="387"/>
      <c r="X17" s="57"/>
      <c r="Y17" s="106"/>
      <c r="Z17" s="37" t="str">
        <f>CONCATENATE(AC17,AK17,AM17,AN17,AO17,AP17,AQ17,AS17,AT17,AU17,AV17,AW17,AX17,AY17,BF17,BG17,AL17,AR17,BB17)</f>
        <v/>
      </c>
      <c r="AA17" s="203" t="s">
        <v>43</v>
      </c>
      <c r="AB17" t="str">
        <f t="shared" ref="AB17" si="0">CHOOSE((1+COUNTBLANK(B17:C17)),AB$16,AC$16,"No Entrant")</f>
        <v>No Entrant</v>
      </c>
      <c r="AC17" s="27" t="str">
        <f t="shared" ref="AC17" si="1">IF(AB17=AC$16,CONCATENATE(AB17,"; "),"")</f>
        <v/>
      </c>
      <c r="AD17" s="207" t="str">
        <f t="shared" ref="AD17" si="2">IF(AB17&lt;&gt;"No Entrant",N58,"")</f>
        <v/>
      </c>
      <c r="AE17" s="207" t="str">
        <f t="shared" ref="AE17" si="3">IF(AND(AD17&gt;=18,COUNTBLANK(J17)=0),J17,"")</f>
        <v/>
      </c>
      <c r="AF17" s="27" t="str">
        <f>CONCATENATE(AA17," ",COUNTIF(AE$17:AE$43,AA17))</f>
        <v>SA 0</v>
      </c>
      <c r="AG17" s="27" t="str">
        <f>IF(VALUE(MID(AF17,4,2))&gt;1,CONCATENATE(LEFT(AF17,3),"","has too many over 18s - see Rule 14; "),"")</f>
        <v/>
      </c>
      <c r="AH17" s="207" t="str">
        <f t="shared" ref="AH17" si="4">IF(AND(AD17&gt;=25,COUNTBLANK(J17)=0),J17,"")</f>
        <v/>
      </c>
      <c r="AI17" s="27" t="str">
        <f t="shared" ref="AI17" si="5">CONCATENATE(AA17," ",COUNTIF(AH$17:AH$43,AA17))</f>
        <v>SA 0</v>
      </c>
      <c r="AJ17" s="27" t="str">
        <f>IF(VALUE(MID(AI17,4,2))&gt;0,CONCATENATE(LEFT(AI17,3),"","has a member over 25 - see Rule 14; "),"")</f>
        <v/>
      </c>
      <c r="AK17" t="str">
        <f t="shared" ref="AK17" si="6">IF(AND(COUNTBLANK(D17)=1,AB17&lt;&gt;"No Entrant",AD17&gt;17.999,COUNTBLANK(G17)=1),"Assumed adult without Member No; ",IF(AND(AB17&lt;&gt;"No Entrant",AD17&gt;17.999,COUNTBLANK(G17)=1),"Adult without Member No; ",""))</f>
        <v/>
      </c>
      <c r="AL17" s="333" t="str">
        <f>IF(OR(H17="",H17="N",H17="Y"),"",IF(VLOOKUP(H17,LastYrList!A:D,2,FALSE)="Did Not Shoot",CONCATENATE("Comp No. ",H17," Did Not Shoot Last Year!!"),""))</f>
        <v/>
      </c>
      <c r="AN17" t="str">
        <f t="shared" ref="AN17" si="7">IF(AND(AB17&lt;&gt;"No Entrant",AD17&lt;16,COUNTBLANK(K17)=0),"Too young to be RO","")</f>
        <v/>
      </c>
      <c r="AO17" s="333" t="str">
        <f>IF(OR(H17="y",H17="n",H17="",AL17&lt;&gt;""),"","")</f>
        <v/>
      </c>
      <c r="AP17" s="333" t="str">
        <f>IF(OR(H17="",(ISERR(VALUE(H17)))),"","")</f>
        <v/>
      </c>
      <c r="AQ17" s="333" t="str">
        <f>IF(OR(H17="",H17="y",H17="n"),"","")</f>
        <v/>
      </c>
      <c r="AR17" t="str">
        <f t="shared" ref="AR17" si="8">IF(AND(AB17&lt;&gt;"No Entrant",AD17&lt;18,COUNTBLANK(K17)=0,COUNTBLANK(AN17)=1),"Warning - Young RO. Check!","")</f>
        <v/>
      </c>
      <c r="AS17" t="str">
        <f t="shared" ref="AS17" si="9">IF(AND($AB17&lt;&gt;"No Entrant",$AD17&lt;18,COUNTBLANK(L17)=0,COUNTBLANK($K17)=1),"Must be a Main Event entrant","")</f>
        <v/>
      </c>
      <c r="AT17" t="str">
        <f>IF(AND(COUNTBLANK(B17:C17)&gt;0,COUNTBLANK(E17:Y17)&lt;20),"Data without entrant Name; ","")</f>
        <v/>
      </c>
      <c r="AU17" t="str">
        <f t="shared" ref="AU17" si="10">IF(AND(COUNTBLANK(S17)=1,COUNTBLANK(T17:U17)&lt;2),AU$16,"")</f>
        <v/>
      </c>
      <c r="AV17" t="str">
        <f t="shared" ref="AV17" si="11">IF(AND(COUNTBLANK(J17)=0,L17="N"),AV$16,"")</f>
        <v/>
      </c>
      <c r="AW17" t="str">
        <f t="shared" ref="AW17" si="12">IF(AND($AB17&lt;&gt;"No Entrant",(Q_Date-D17&lt;5112),COUNTBLANK(X17)=0),"Too Young for Fullbore; ","")</f>
        <v/>
      </c>
      <c r="AX17" t="str">
        <f t="shared" ref="AX17" si="13">IF(AND(COUNTBLANK(K17)=1,L17="N",COUNTBLANK(M17:S17)+COUNTBLANK(V17:Y17)=11),AX$16,"")</f>
        <v/>
      </c>
      <c r="AY17" t="str">
        <f t="shared" ref="AY17:AY43" si="14">IF(AND($AB17&lt;&gt;"No Entrant",(Q_Date-$D17&lt;4382),COUNTBLANK($Y17)=0),"Too Young for Small-bore; ","")</f>
        <v/>
      </c>
      <c r="AZ17" t="str">
        <f t="shared" ref="AZ17" si="15">IF(AND($AB17&lt;&gt;"No Entrant",(Q_Date-$D17=AM$7),COUNTBLANK($Y17)=0),AZ$16,"")</f>
        <v/>
      </c>
      <c r="BA17" t="str">
        <f t="shared" ref="BA17" si="16">IF(AND($AB17&lt;&gt;"No Entrant",(Q_Date-$D17=AM$8),COUNTBLANK($X17)=0),BA$16,"")</f>
        <v/>
      </c>
      <c r="BB17" t="str">
        <f>IF(AND(L17&lt;&gt;"N",(2*(1-COUNTBLANK(R17))+(1-COUNTBLANK(V17))+(1-COUNTBLANK(W17))+2*(1-COUNTBLANK(X17))+(1-COUNTBLANK(Y17))&gt;3)),"Too many Daylight-only Extra events",IF(2*(1-COUNTBLANK(R17))+1-COUNTBLANK(V17)+1-COUNTBLANK(W17)+2*(1-COUNTBLANK(X17))+1-COUNTBLANK(Y17)&gt;5,"Too many Daylight-only Extra events",""))</f>
        <v/>
      </c>
      <c r="BC17" t="str">
        <f t="shared" ref="BC17" si="17">IF(OR(I17="h",I17="H")," HO! ","")</f>
        <v/>
      </c>
      <c r="BD17" s="338" t="str">
        <f t="shared" ref="BD17" si="18">IF(AB17="No Entrant","",IF(COUNTBLANK(K17)=1,5,IF(OR(L17="X",L17="x"),2,IF(OR(L17="N",L17="n"),5,1))))</f>
        <v/>
      </c>
      <c r="BE17" s="338">
        <f>(5-COUNTBLANK(M17:Q17))+(2*(1-COUNTBLANK(R17)))+(2*(1-COUNTBLANK(S17)))+(1-COUNTBLANK(V17))+(1-COUNTBLANK(W17))+(2*(1-COUNTBLANK(X17)))+(1-COUNTBLANK(Y17))</f>
        <v>0</v>
      </c>
      <c r="BF17" s="337" t="str">
        <f t="shared" ref="BF17" si="19">IF(BE17&gt;BD17,"Too Many Extra Events","")</f>
        <v/>
      </c>
      <c r="BG17" s="337" t="str">
        <f t="shared" ref="BG17" si="20">IF(AND($AB17&lt;&gt;"No Entrant",(Q_Date-D17&gt;5112),LEFT(J17,1)="J"),"Too Old for Junior Connaught","")</f>
        <v/>
      </c>
      <c r="BH17" s="184" t="str">
        <f t="shared" ref="BH17:BH43" si="21">CONCATENATE(AL17,AR17,AZ17,BA17,BC17)</f>
        <v/>
      </c>
      <c r="BN17"/>
      <c r="BO17"/>
    </row>
    <row r="18" spans="1:67" ht="13.5" x14ac:dyDescent="0.25">
      <c r="A18" s="254">
        <v>18</v>
      </c>
      <c r="B18" s="60"/>
      <c r="C18" s="61"/>
      <c r="D18" s="62"/>
      <c r="E18" s="101"/>
      <c r="F18" s="101"/>
      <c r="G18" s="63"/>
      <c r="H18" s="103"/>
      <c r="I18" s="103"/>
      <c r="J18" s="59"/>
      <c r="K18" s="59"/>
      <c r="L18" s="59"/>
      <c r="M18" s="59"/>
      <c r="N18" s="59"/>
      <c r="O18" s="59"/>
      <c r="P18" s="59"/>
      <c r="Q18" s="59"/>
      <c r="R18" s="59"/>
      <c r="S18" s="101"/>
      <c r="T18" s="59"/>
      <c r="U18" s="103"/>
      <c r="V18" s="384"/>
      <c r="W18" s="101"/>
      <c r="X18" s="59"/>
      <c r="Y18" s="107"/>
      <c r="Z18" s="37" t="str">
        <f t="shared" ref="Z18:Z43" si="22">CONCATENATE(AC18,AK18,AM18,AN18,AO18,AP18,AQ18,AS18,AT18,AU18,AV18,AW18,AX18,AY18,BF18,BG18,AL18,AR18,BB18)</f>
        <v/>
      </c>
      <c r="AA18" s="203" t="s">
        <v>50</v>
      </c>
      <c r="AB18" t="str">
        <f t="shared" ref="AB18:AB43" si="23">CHOOSE((1+COUNTBLANK(B18:C18)),AB$16,AC$16,"No Entrant")</f>
        <v>No Entrant</v>
      </c>
      <c r="AC18" s="27" t="str">
        <f t="shared" ref="AC18:AC43" si="24">IF(AB18=AC$16,CONCATENATE(AB18,"; "),"")</f>
        <v/>
      </c>
      <c r="AD18" s="207" t="str">
        <f t="shared" ref="AD18:AD43" si="25">IF(AB18&lt;&gt;"No Entrant",N59,"")</f>
        <v/>
      </c>
      <c r="AE18" s="207" t="str">
        <f t="shared" ref="AE18:AE43" si="26">IF(AND(AD18&gt;=18,COUNTBLANK(J18)=0),J18,"")</f>
        <v/>
      </c>
      <c r="AF18" s="27" t="str">
        <f t="shared" ref="AF18:AF43" si="27">CONCATENATE(AA18," ",COUNTIF(AE$17:AE$43,AA18))</f>
        <v>SB 0</v>
      </c>
      <c r="AG18" s="27" t="str">
        <f t="shared" ref="AG18:AG43" si="28">IF(VALUE(MID(AF18,4,2))&gt;1,CONCATENATE(LEFT(AF18,3),"","has too many over 18s - see Rule 14; "),"")</f>
        <v/>
      </c>
      <c r="AH18" s="207" t="str">
        <f t="shared" ref="AH18:AH43" si="29">IF(AND(AD18&gt;=25,COUNTBLANK(J18)=0),J18,"")</f>
        <v/>
      </c>
      <c r="AI18" s="27" t="str">
        <f t="shared" ref="AI18:AI43" si="30">CONCATENATE(AA18," ",COUNTIF(AH$17:AH$43,AA18))</f>
        <v>SB 0</v>
      </c>
      <c r="AJ18" s="27" t="str">
        <f t="shared" ref="AJ18:AJ43" si="31">IF(VALUE(MID(AI18,4,2))&gt;0,CONCATENATE(LEFT(AI18,3),"","has a member over 25 - see Rule 14; "),"")</f>
        <v/>
      </c>
      <c r="AK18" t="str">
        <f t="shared" ref="AK18:AK43" si="32">IF(AND(COUNTBLANK(D18)=1,AB18&lt;&gt;"No Entrant",AD18&gt;17.999,COUNTBLANK(G18)=1),"Assumed adult without Member No; ",IF(AND(AB18&lt;&gt;"No Entrant",AD18&gt;17.999,COUNTBLANK(G18)=1),"Adult without Member No; ",""))</f>
        <v/>
      </c>
      <c r="AL18" s="333" t="str">
        <f>IF(OR(H18="",H18="N",H18="Y"),"",IF(VLOOKUP(H18,LastYrList!A:D,2,FALSE)="Did Not Shoot",CONCATENATE("Comp No. ",H18," Did Not Shoot Last Year!!"),""))</f>
        <v/>
      </c>
      <c r="AN18" t="str">
        <f t="shared" ref="AN18:AN43" si="33">IF(AND(AB18&lt;&gt;"No Entrant",AD18&lt;16,COUNTBLANK(K18)=0),"Too young to be RO","")</f>
        <v/>
      </c>
      <c r="AO18" s="333" t="str">
        <f t="shared" ref="AO18:AO43" si="34">IF(OR(H18="y",H18="n",H18="",AL18&lt;&gt;""),"","")</f>
        <v/>
      </c>
      <c r="AP18" s="333" t="str">
        <f t="shared" ref="AP18:AP43" si="35">IF(OR(H18="",(ISERR(VALUE(H18)))),"","")</f>
        <v/>
      </c>
      <c r="AQ18" s="333" t="str">
        <f t="shared" ref="AQ18:AQ43" si="36">IF(OR(H18="",H18="y",H18="n"),"","")</f>
        <v/>
      </c>
      <c r="AR18" t="str">
        <f t="shared" ref="AR18:AR43" si="37">IF(AND(AB18&lt;&gt;"No Entrant",AD18&lt;18,COUNTBLANK(K18)=0,COUNTBLANK(AN18)=1),"Warning - Young RO. Check!","")</f>
        <v/>
      </c>
      <c r="AS18" t="str">
        <f t="shared" ref="AS18:AS43" si="38">IF(AND($AB18&lt;&gt;"No Entrant",$AD18&lt;18,COUNTBLANK(L18)=0,COUNTBLANK($K18)=1),"Must be a Main Event entrant","")</f>
        <v/>
      </c>
      <c r="AT18" t="str">
        <f t="shared" ref="AT18:AT43" si="39">IF(AND(COUNTBLANK(B18:C18)&gt;0,COUNTBLANK(E18:Y18)&lt;20),"Data without entrant Name; ","")</f>
        <v/>
      </c>
      <c r="AU18" t="str">
        <f t="shared" ref="AU18:AU43" si="40">IF(AND(COUNTBLANK(S18)=1,COUNTBLANK(T18:U18)&lt;2),AU$16,"")</f>
        <v/>
      </c>
      <c r="AV18" t="str">
        <f t="shared" ref="AV18:AV43" si="41">IF(AND(COUNTBLANK(J18)=0,L18="N"),AV$16,"")</f>
        <v/>
      </c>
      <c r="AW18" t="str">
        <f t="shared" ref="AW18:AW43" si="42">IF(AND($AB18&lt;&gt;"No Entrant",(Q_Date-D18&lt;5112),COUNTBLANK(X18)=0),"Too Young for Fullbore; ","")</f>
        <v/>
      </c>
      <c r="AX18" t="str">
        <f t="shared" ref="AX18:AX43" si="43">IF(AND(COUNTBLANK(K18)=1,L18="N",COUNTBLANK(M18:S18)+COUNTBLANK(V18:Y18)=11),AX$16,"")</f>
        <v/>
      </c>
      <c r="AY18" t="str">
        <f t="shared" si="14"/>
        <v/>
      </c>
      <c r="AZ18" t="str">
        <f t="shared" ref="AZ18:AZ43" si="44">IF(AND($AB18&lt;&gt;"No Entrant",(Q_Date-$D18=AM$7),COUNTBLANK($Y18)=0),AZ$16,"")</f>
        <v/>
      </c>
      <c r="BA18" t="str">
        <f t="shared" ref="BA18:BA43" si="45">IF(AND($AB18&lt;&gt;"No Entrant",(Q_Date-$D18=AM$8),COUNTBLANK($X18)=0),BA$16,"")</f>
        <v/>
      </c>
      <c r="BB18" t="str">
        <f t="shared" ref="BB18:BB43" si="46">IF(AND(L18&lt;&gt;"N",(2*(1-COUNTBLANK(R18))+(1-COUNTBLANK(V18))+(1-COUNTBLANK(W18))+2*(1-COUNTBLANK(X18))+(1-COUNTBLANK(Y18))&gt;3)),"Too many Daylight-only Extra events",IF(2*(1-COUNTBLANK(R18))+1-COUNTBLANK(V18)+1-COUNTBLANK(W18)+2*(1-COUNTBLANK(X18))+1-COUNTBLANK(Y18)&gt;5,"Too many Daylight-only Extra events",""))</f>
        <v/>
      </c>
      <c r="BC18" t="str">
        <f t="shared" ref="BC18:BC43" si="47">IF(OR(I18="h",I18="H")," HO! ","")</f>
        <v/>
      </c>
      <c r="BD18" s="338" t="str">
        <f t="shared" ref="BD18:BD43" si="48">IF(AB18="No Entrant","",IF(COUNTBLANK(K18)=1,5,IF(OR(L18="X",L18="x"),2,IF(OR(L18="N",L18="n"),5,1))))</f>
        <v/>
      </c>
      <c r="BE18" s="338">
        <f t="shared" ref="BE18:BE43" si="49">(5-COUNTBLANK(M18:Q18))+(2*(1-COUNTBLANK(R18)))+(2*(1-COUNTBLANK(S18)))+(1-COUNTBLANK(V18))+(1-COUNTBLANK(W18))+(2*(1-COUNTBLANK(X18)))+(1-COUNTBLANK(Y18))</f>
        <v>0</v>
      </c>
      <c r="BF18" s="337" t="str">
        <f t="shared" ref="BF18:BF43" si="50">IF(BE18&gt;BD18,"Too Many Extra Events","")</f>
        <v/>
      </c>
      <c r="BG18" s="337" t="str">
        <f t="shared" ref="BG18:BG43" si="51">IF(AND($AB18&lt;&gt;"No Entrant",(Q_Date-D18&gt;5112),LEFT(J18,1)="J"),"Too Old for Junior Connaught","")</f>
        <v/>
      </c>
      <c r="BH18" s="184" t="str">
        <f t="shared" si="21"/>
        <v/>
      </c>
      <c r="BN18"/>
      <c r="BO18"/>
    </row>
    <row r="19" spans="1:67" ht="13.5" x14ac:dyDescent="0.25">
      <c r="A19" s="254">
        <v>19</v>
      </c>
      <c r="B19" s="60"/>
      <c r="C19" s="61"/>
      <c r="D19" s="62"/>
      <c r="E19" s="101"/>
      <c r="F19" s="101"/>
      <c r="G19" s="63"/>
      <c r="H19" s="103"/>
      <c r="I19" s="103"/>
      <c r="J19" s="59"/>
      <c r="K19" s="59"/>
      <c r="L19" s="59"/>
      <c r="M19" s="59"/>
      <c r="N19" s="59"/>
      <c r="O19" s="59"/>
      <c r="P19" s="59"/>
      <c r="Q19" s="59"/>
      <c r="R19" s="59"/>
      <c r="S19" s="101"/>
      <c r="T19" s="59"/>
      <c r="U19" s="103"/>
      <c r="V19" s="384"/>
      <c r="W19" s="101"/>
      <c r="X19" s="59"/>
      <c r="Y19" s="107"/>
      <c r="Z19" s="37" t="str">
        <f t="shared" si="22"/>
        <v/>
      </c>
      <c r="AA19" s="203" t="s">
        <v>51</v>
      </c>
      <c r="AB19" t="str">
        <f t="shared" si="23"/>
        <v>No Entrant</v>
      </c>
      <c r="AC19" s="27" t="str">
        <f t="shared" si="24"/>
        <v/>
      </c>
      <c r="AD19" s="207" t="str">
        <f t="shared" si="25"/>
        <v/>
      </c>
      <c r="AE19" s="207" t="str">
        <f t="shared" si="26"/>
        <v/>
      </c>
      <c r="AF19" s="27" t="str">
        <f t="shared" si="27"/>
        <v>SC 0</v>
      </c>
      <c r="AG19" s="27" t="str">
        <f t="shared" si="28"/>
        <v/>
      </c>
      <c r="AH19" s="207" t="str">
        <f t="shared" si="29"/>
        <v/>
      </c>
      <c r="AI19" s="27" t="str">
        <f t="shared" si="30"/>
        <v>SC 0</v>
      </c>
      <c r="AJ19" s="27" t="str">
        <f t="shared" si="31"/>
        <v/>
      </c>
      <c r="AK19" t="str">
        <f t="shared" si="32"/>
        <v/>
      </c>
      <c r="AL19" s="333" t="str">
        <f>IF(OR(H19="",H19="N",H19="Y"),"",IF(VLOOKUP(H19,LastYrList!A:D,2,FALSE)="Did Not Shoot",CONCATENATE("Comp No. ",H19," Did Not Shoot Last Year!!"),""))</f>
        <v/>
      </c>
      <c r="AN19" t="str">
        <f t="shared" si="33"/>
        <v/>
      </c>
      <c r="AO19" s="333" t="str">
        <f t="shared" si="34"/>
        <v/>
      </c>
      <c r="AP19" s="333" t="str">
        <f t="shared" si="35"/>
        <v/>
      </c>
      <c r="AQ19" s="333" t="str">
        <f t="shared" si="36"/>
        <v/>
      </c>
      <c r="AR19" t="str">
        <f t="shared" si="37"/>
        <v/>
      </c>
      <c r="AS19" t="str">
        <f t="shared" si="38"/>
        <v/>
      </c>
      <c r="AT19" t="str">
        <f t="shared" si="39"/>
        <v/>
      </c>
      <c r="AU19" t="str">
        <f t="shared" si="40"/>
        <v/>
      </c>
      <c r="AV19" t="str">
        <f t="shared" si="41"/>
        <v/>
      </c>
      <c r="AW19" t="str">
        <f t="shared" si="42"/>
        <v/>
      </c>
      <c r="AX19" t="str">
        <f t="shared" si="43"/>
        <v/>
      </c>
      <c r="AY19" t="str">
        <f t="shared" si="14"/>
        <v/>
      </c>
      <c r="AZ19" t="str">
        <f t="shared" si="44"/>
        <v/>
      </c>
      <c r="BA19" t="str">
        <f t="shared" si="45"/>
        <v/>
      </c>
      <c r="BB19" t="str">
        <f t="shared" si="46"/>
        <v/>
      </c>
      <c r="BC19" t="str">
        <f t="shared" si="47"/>
        <v/>
      </c>
      <c r="BD19" s="338" t="str">
        <f t="shared" si="48"/>
        <v/>
      </c>
      <c r="BE19" s="338">
        <f t="shared" si="49"/>
        <v>0</v>
      </c>
      <c r="BF19" s="337" t="str">
        <f t="shared" si="50"/>
        <v/>
      </c>
      <c r="BG19" s="337" t="str">
        <f t="shared" si="51"/>
        <v/>
      </c>
      <c r="BH19" s="184" t="str">
        <f t="shared" si="21"/>
        <v/>
      </c>
      <c r="BN19"/>
      <c r="BO19"/>
    </row>
    <row r="20" spans="1:67" ht="13.5" x14ac:dyDescent="0.25">
      <c r="A20" s="254">
        <v>20</v>
      </c>
      <c r="B20" s="60"/>
      <c r="C20" s="61"/>
      <c r="D20" s="62"/>
      <c r="E20" s="101"/>
      <c r="F20" s="101"/>
      <c r="G20" s="63"/>
      <c r="H20" s="103"/>
      <c r="I20" s="103"/>
      <c r="J20" s="59"/>
      <c r="K20" s="59"/>
      <c r="L20" s="59"/>
      <c r="M20" s="59"/>
      <c r="N20" s="59"/>
      <c r="O20" s="59"/>
      <c r="P20" s="59"/>
      <c r="Q20" s="59"/>
      <c r="R20" s="59"/>
      <c r="S20" s="101"/>
      <c r="T20" s="59"/>
      <c r="U20" s="103"/>
      <c r="V20" s="384"/>
      <c r="W20" s="101"/>
      <c r="X20" s="59"/>
      <c r="Y20" s="107"/>
      <c r="Z20" s="37" t="str">
        <f t="shared" si="22"/>
        <v/>
      </c>
      <c r="AA20" s="203" t="s">
        <v>52</v>
      </c>
      <c r="AB20" t="str">
        <f t="shared" si="23"/>
        <v>No Entrant</v>
      </c>
      <c r="AC20" s="27" t="str">
        <f t="shared" si="24"/>
        <v/>
      </c>
      <c r="AD20" s="207" t="str">
        <f t="shared" si="25"/>
        <v/>
      </c>
      <c r="AE20" s="207" t="str">
        <f t="shared" si="26"/>
        <v/>
      </c>
      <c r="AF20" s="27" t="str">
        <f t="shared" si="27"/>
        <v>SD 0</v>
      </c>
      <c r="AG20" s="27" t="str">
        <f t="shared" si="28"/>
        <v/>
      </c>
      <c r="AH20" s="207" t="str">
        <f t="shared" si="29"/>
        <v/>
      </c>
      <c r="AI20" s="27" t="str">
        <f t="shared" si="30"/>
        <v>SD 0</v>
      </c>
      <c r="AJ20" s="27" t="str">
        <f t="shared" si="31"/>
        <v/>
      </c>
      <c r="AK20" t="str">
        <f t="shared" si="32"/>
        <v/>
      </c>
      <c r="AL20" s="333" t="str">
        <f>IF(OR(H20="",H20="N",H20="Y"),"",IF(VLOOKUP(H20,LastYrList!A:D,2,FALSE)="Did Not Shoot",CONCATENATE("Comp No. ",H20," Did Not Shoot Last Year!!"),""))</f>
        <v/>
      </c>
      <c r="AN20" t="str">
        <f t="shared" si="33"/>
        <v/>
      </c>
      <c r="AO20" s="333" t="str">
        <f t="shared" si="34"/>
        <v/>
      </c>
      <c r="AP20" s="333" t="str">
        <f t="shared" si="35"/>
        <v/>
      </c>
      <c r="AQ20" s="333" t="str">
        <f t="shared" si="36"/>
        <v/>
      </c>
      <c r="AR20" t="str">
        <f t="shared" si="37"/>
        <v/>
      </c>
      <c r="AS20" t="str">
        <f t="shared" si="38"/>
        <v/>
      </c>
      <c r="AT20" t="str">
        <f t="shared" si="39"/>
        <v/>
      </c>
      <c r="AU20" t="str">
        <f t="shared" si="40"/>
        <v/>
      </c>
      <c r="AV20" t="str">
        <f t="shared" si="41"/>
        <v/>
      </c>
      <c r="AW20" t="str">
        <f t="shared" si="42"/>
        <v/>
      </c>
      <c r="AX20" t="str">
        <f t="shared" si="43"/>
        <v/>
      </c>
      <c r="AY20" t="str">
        <f t="shared" si="14"/>
        <v/>
      </c>
      <c r="AZ20" t="str">
        <f t="shared" si="44"/>
        <v/>
      </c>
      <c r="BA20" t="str">
        <f t="shared" si="45"/>
        <v/>
      </c>
      <c r="BB20" t="str">
        <f t="shared" si="46"/>
        <v/>
      </c>
      <c r="BC20" t="str">
        <f t="shared" si="47"/>
        <v/>
      </c>
      <c r="BD20" s="338" t="str">
        <f t="shared" si="48"/>
        <v/>
      </c>
      <c r="BE20" s="338">
        <f t="shared" si="49"/>
        <v>0</v>
      </c>
      <c r="BF20" s="337" t="str">
        <f t="shared" si="50"/>
        <v/>
      </c>
      <c r="BG20" s="337" t="str">
        <f t="shared" si="51"/>
        <v/>
      </c>
      <c r="BH20" s="184" t="str">
        <f t="shared" si="21"/>
        <v/>
      </c>
      <c r="BN20"/>
      <c r="BO20"/>
    </row>
    <row r="21" spans="1:67" ht="13.5" x14ac:dyDescent="0.25">
      <c r="A21" s="254">
        <v>21</v>
      </c>
      <c r="B21" s="60"/>
      <c r="C21" s="61"/>
      <c r="D21" s="652"/>
      <c r="E21" s="101"/>
      <c r="F21" s="101"/>
      <c r="G21" s="63"/>
      <c r="H21" s="103"/>
      <c r="I21" s="103"/>
      <c r="J21" s="59"/>
      <c r="K21" s="59"/>
      <c r="L21" s="59"/>
      <c r="M21" s="59"/>
      <c r="N21" s="59"/>
      <c r="O21" s="59"/>
      <c r="P21" s="59"/>
      <c r="Q21" s="59"/>
      <c r="R21" s="59"/>
      <c r="S21" s="101"/>
      <c r="T21" s="59"/>
      <c r="U21" s="103"/>
      <c r="V21" s="384"/>
      <c r="W21" s="101"/>
      <c r="X21" s="59"/>
      <c r="Y21" s="107"/>
      <c r="Z21" s="37" t="str">
        <f t="shared" si="22"/>
        <v/>
      </c>
      <c r="AA21" s="203" t="s">
        <v>53</v>
      </c>
      <c r="AB21" t="str">
        <f t="shared" si="23"/>
        <v>No Entrant</v>
      </c>
      <c r="AC21" s="27" t="str">
        <f t="shared" si="24"/>
        <v/>
      </c>
      <c r="AD21" s="207" t="str">
        <f t="shared" si="25"/>
        <v/>
      </c>
      <c r="AE21" s="207" t="str">
        <f t="shared" si="26"/>
        <v/>
      </c>
      <c r="AF21" s="27" t="str">
        <f t="shared" si="27"/>
        <v>SE 0</v>
      </c>
      <c r="AG21" s="27" t="str">
        <f t="shared" si="28"/>
        <v/>
      </c>
      <c r="AH21" s="207" t="str">
        <f t="shared" si="29"/>
        <v/>
      </c>
      <c r="AI21" s="27" t="str">
        <f t="shared" si="30"/>
        <v>SE 0</v>
      </c>
      <c r="AJ21" s="27" t="str">
        <f t="shared" si="31"/>
        <v/>
      </c>
      <c r="AK21" t="str">
        <f t="shared" si="32"/>
        <v/>
      </c>
      <c r="AL21" s="333" t="str">
        <f>IF(OR(H21="",H21="N",H21="Y"),"",IF(VLOOKUP(H21,LastYrList!A:D,2,FALSE)="Did Not Shoot",CONCATENATE("Comp No. ",H21," Did Not Shoot Last Year!!"),""))</f>
        <v/>
      </c>
      <c r="AN21" t="str">
        <f t="shared" si="33"/>
        <v/>
      </c>
      <c r="AO21" s="333" t="str">
        <f t="shared" si="34"/>
        <v/>
      </c>
      <c r="AP21" s="333" t="str">
        <f t="shared" si="35"/>
        <v/>
      </c>
      <c r="AQ21" s="333" t="str">
        <f t="shared" si="36"/>
        <v/>
      </c>
      <c r="AR21" t="str">
        <f t="shared" si="37"/>
        <v/>
      </c>
      <c r="AS21" t="str">
        <f t="shared" si="38"/>
        <v/>
      </c>
      <c r="AT21" t="str">
        <f t="shared" si="39"/>
        <v/>
      </c>
      <c r="AU21" t="str">
        <f t="shared" si="40"/>
        <v/>
      </c>
      <c r="AV21" t="str">
        <f t="shared" si="41"/>
        <v/>
      </c>
      <c r="AW21" t="str">
        <f t="shared" si="42"/>
        <v/>
      </c>
      <c r="AX21" t="str">
        <f t="shared" si="43"/>
        <v/>
      </c>
      <c r="AY21" t="str">
        <f t="shared" si="14"/>
        <v/>
      </c>
      <c r="AZ21" t="str">
        <f t="shared" si="44"/>
        <v/>
      </c>
      <c r="BA21" t="str">
        <f t="shared" si="45"/>
        <v/>
      </c>
      <c r="BB21" t="str">
        <f t="shared" si="46"/>
        <v/>
      </c>
      <c r="BC21" t="str">
        <f t="shared" si="47"/>
        <v/>
      </c>
      <c r="BD21" s="338" t="str">
        <f t="shared" si="48"/>
        <v/>
      </c>
      <c r="BE21" s="338">
        <f t="shared" si="49"/>
        <v>0</v>
      </c>
      <c r="BF21" s="337" t="str">
        <f t="shared" si="50"/>
        <v/>
      </c>
      <c r="BG21" s="337" t="str">
        <f t="shared" si="51"/>
        <v/>
      </c>
      <c r="BH21" s="184" t="str">
        <f t="shared" si="21"/>
        <v/>
      </c>
      <c r="BN21"/>
      <c r="BO21"/>
    </row>
    <row r="22" spans="1:67" ht="13.5" x14ac:dyDescent="0.25">
      <c r="A22" s="254">
        <v>22</v>
      </c>
      <c r="B22" s="60"/>
      <c r="C22" s="61"/>
      <c r="D22" s="652"/>
      <c r="E22" s="101"/>
      <c r="F22" s="101"/>
      <c r="G22" s="63"/>
      <c r="H22" s="103"/>
      <c r="I22" s="103"/>
      <c r="J22" s="59"/>
      <c r="K22" s="59"/>
      <c r="L22" s="59"/>
      <c r="M22" s="59"/>
      <c r="N22" s="59"/>
      <c r="O22" s="59"/>
      <c r="P22" s="59"/>
      <c r="Q22" s="59"/>
      <c r="R22" s="59"/>
      <c r="S22" s="101"/>
      <c r="T22" s="59"/>
      <c r="U22" s="103"/>
      <c r="V22" s="384"/>
      <c r="W22" s="101"/>
      <c r="X22" s="59"/>
      <c r="Y22" s="107"/>
      <c r="Z22" s="37" t="str">
        <f t="shared" si="22"/>
        <v/>
      </c>
      <c r="AA22" s="203" t="s">
        <v>54</v>
      </c>
      <c r="AB22" t="str">
        <f t="shared" si="23"/>
        <v>No Entrant</v>
      </c>
      <c r="AC22" s="27" t="str">
        <f t="shared" si="24"/>
        <v/>
      </c>
      <c r="AD22" s="207" t="str">
        <f t="shared" si="25"/>
        <v/>
      </c>
      <c r="AE22" s="207" t="str">
        <f t="shared" si="26"/>
        <v/>
      </c>
      <c r="AF22" s="27" t="str">
        <f t="shared" si="27"/>
        <v>SF 0</v>
      </c>
      <c r="AG22" s="27" t="str">
        <f t="shared" si="28"/>
        <v/>
      </c>
      <c r="AH22" s="207" t="str">
        <f t="shared" si="29"/>
        <v/>
      </c>
      <c r="AI22" s="27" t="str">
        <f t="shared" si="30"/>
        <v>SF 0</v>
      </c>
      <c r="AJ22" s="27" t="str">
        <f t="shared" si="31"/>
        <v/>
      </c>
      <c r="AK22" t="str">
        <f t="shared" si="32"/>
        <v/>
      </c>
      <c r="AL22" s="333" t="str">
        <f>IF(OR(H22="",H22="N",H22="Y"),"",IF(VLOOKUP(H22,LastYrList!A:D,2,FALSE)="Did Not Shoot",CONCATENATE("Comp No. ",H22," Did Not Shoot Last Year!!"),""))</f>
        <v/>
      </c>
      <c r="AN22" t="str">
        <f t="shared" si="33"/>
        <v/>
      </c>
      <c r="AO22" s="333" t="str">
        <f t="shared" si="34"/>
        <v/>
      </c>
      <c r="AP22" s="333" t="str">
        <f t="shared" si="35"/>
        <v/>
      </c>
      <c r="AQ22" s="333" t="str">
        <f t="shared" si="36"/>
        <v/>
      </c>
      <c r="AR22" t="str">
        <f t="shared" si="37"/>
        <v/>
      </c>
      <c r="AS22" t="str">
        <f t="shared" si="38"/>
        <v/>
      </c>
      <c r="AT22" t="str">
        <f t="shared" si="39"/>
        <v/>
      </c>
      <c r="AU22" t="str">
        <f t="shared" si="40"/>
        <v/>
      </c>
      <c r="AV22" t="str">
        <f t="shared" si="41"/>
        <v/>
      </c>
      <c r="AW22" t="str">
        <f t="shared" si="42"/>
        <v/>
      </c>
      <c r="AX22" t="str">
        <f t="shared" si="43"/>
        <v/>
      </c>
      <c r="AY22" t="str">
        <f t="shared" si="14"/>
        <v/>
      </c>
      <c r="AZ22" t="str">
        <f t="shared" si="44"/>
        <v/>
      </c>
      <c r="BA22" t="str">
        <f t="shared" si="45"/>
        <v/>
      </c>
      <c r="BB22" t="str">
        <f t="shared" si="46"/>
        <v/>
      </c>
      <c r="BC22" t="str">
        <f t="shared" si="47"/>
        <v/>
      </c>
      <c r="BD22" s="338" t="str">
        <f t="shared" si="48"/>
        <v/>
      </c>
      <c r="BE22" s="338">
        <f t="shared" si="49"/>
        <v>0</v>
      </c>
      <c r="BF22" s="337" t="str">
        <f t="shared" si="50"/>
        <v/>
      </c>
      <c r="BG22" s="337" t="str">
        <f t="shared" si="51"/>
        <v/>
      </c>
      <c r="BH22" s="184" t="str">
        <f t="shared" si="21"/>
        <v/>
      </c>
      <c r="BN22"/>
      <c r="BO22"/>
    </row>
    <row r="23" spans="1:67" ht="13.5" x14ac:dyDescent="0.25">
      <c r="A23" s="254">
        <v>23</v>
      </c>
      <c r="B23" s="651"/>
      <c r="C23" s="650"/>
      <c r="D23" s="652"/>
      <c r="E23" s="101"/>
      <c r="F23" s="101"/>
      <c r="G23" s="63"/>
      <c r="H23" s="103"/>
      <c r="I23" s="103"/>
      <c r="J23" s="59"/>
      <c r="K23" s="59"/>
      <c r="L23" s="59"/>
      <c r="M23" s="59"/>
      <c r="N23" s="59"/>
      <c r="O23" s="59"/>
      <c r="P23" s="59"/>
      <c r="Q23" s="59"/>
      <c r="R23" s="59"/>
      <c r="S23" s="101"/>
      <c r="T23" s="59"/>
      <c r="U23" s="103"/>
      <c r="V23" s="384"/>
      <c r="W23" s="101"/>
      <c r="X23" s="59"/>
      <c r="Y23" s="107"/>
      <c r="Z23" s="37" t="str">
        <f t="shared" si="22"/>
        <v/>
      </c>
      <c r="AA23" s="203" t="s">
        <v>55</v>
      </c>
      <c r="AB23" t="str">
        <f t="shared" si="23"/>
        <v>No Entrant</v>
      </c>
      <c r="AC23" s="27" t="str">
        <f t="shared" si="24"/>
        <v/>
      </c>
      <c r="AD23" s="207" t="str">
        <f t="shared" si="25"/>
        <v/>
      </c>
      <c r="AE23" s="207" t="str">
        <f t="shared" si="26"/>
        <v/>
      </c>
      <c r="AF23" s="27" t="str">
        <f t="shared" si="27"/>
        <v>SG 0</v>
      </c>
      <c r="AG23" s="27" t="str">
        <f t="shared" si="28"/>
        <v/>
      </c>
      <c r="AH23" s="207" t="str">
        <f t="shared" si="29"/>
        <v/>
      </c>
      <c r="AI23" s="27" t="str">
        <f t="shared" si="30"/>
        <v>SG 0</v>
      </c>
      <c r="AJ23" s="27" t="str">
        <f t="shared" si="31"/>
        <v/>
      </c>
      <c r="AK23" t="str">
        <f t="shared" si="32"/>
        <v/>
      </c>
      <c r="AL23" s="333" t="str">
        <f>IF(OR(H23="",H23="N",H23="Y"),"",IF(VLOOKUP(H23,LastYrList!A:D,2,FALSE)="Did Not Shoot",CONCATENATE("Comp No. ",H23," Did Not Shoot Last Year!!"),""))</f>
        <v/>
      </c>
      <c r="AN23" t="str">
        <f t="shared" si="33"/>
        <v/>
      </c>
      <c r="AO23" s="333" t="str">
        <f t="shared" si="34"/>
        <v/>
      </c>
      <c r="AP23" s="333" t="str">
        <f t="shared" si="35"/>
        <v/>
      </c>
      <c r="AQ23" s="333" t="str">
        <f t="shared" si="36"/>
        <v/>
      </c>
      <c r="AR23" t="str">
        <f t="shared" si="37"/>
        <v/>
      </c>
      <c r="AS23" t="str">
        <f t="shared" si="38"/>
        <v/>
      </c>
      <c r="AT23" t="str">
        <f t="shared" si="39"/>
        <v/>
      </c>
      <c r="AU23" t="str">
        <f t="shared" si="40"/>
        <v/>
      </c>
      <c r="AV23" t="str">
        <f t="shared" si="41"/>
        <v/>
      </c>
      <c r="AW23" t="str">
        <f t="shared" si="42"/>
        <v/>
      </c>
      <c r="AX23" t="str">
        <f t="shared" si="43"/>
        <v/>
      </c>
      <c r="AY23" t="str">
        <f t="shared" si="14"/>
        <v/>
      </c>
      <c r="AZ23" t="str">
        <f t="shared" si="44"/>
        <v/>
      </c>
      <c r="BA23" t="str">
        <f t="shared" si="45"/>
        <v/>
      </c>
      <c r="BB23" t="str">
        <f t="shared" si="46"/>
        <v/>
      </c>
      <c r="BC23" t="str">
        <f t="shared" si="47"/>
        <v/>
      </c>
      <c r="BD23" s="338" t="str">
        <f t="shared" si="48"/>
        <v/>
      </c>
      <c r="BE23" s="338">
        <f t="shared" si="49"/>
        <v>0</v>
      </c>
      <c r="BF23" s="337" t="str">
        <f t="shared" si="50"/>
        <v/>
      </c>
      <c r="BG23" s="337" t="str">
        <f t="shared" si="51"/>
        <v/>
      </c>
      <c r="BH23" s="184" t="str">
        <f t="shared" si="21"/>
        <v/>
      </c>
      <c r="BN23"/>
      <c r="BO23"/>
    </row>
    <row r="24" spans="1:67" ht="13.5" x14ac:dyDescent="0.25">
      <c r="A24" s="254">
        <v>24</v>
      </c>
      <c r="B24" s="651"/>
      <c r="C24" s="650"/>
      <c r="D24" s="652"/>
      <c r="E24" s="101"/>
      <c r="F24" s="101"/>
      <c r="G24" s="63"/>
      <c r="H24" s="103"/>
      <c r="I24" s="103"/>
      <c r="J24" s="59"/>
      <c r="K24" s="59"/>
      <c r="L24" s="59"/>
      <c r="M24" s="59"/>
      <c r="N24" s="59"/>
      <c r="O24" s="59"/>
      <c r="P24" s="59"/>
      <c r="Q24" s="59"/>
      <c r="R24" s="59"/>
      <c r="S24" s="101"/>
      <c r="T24" s="59"/>
      <c r="U24" s="103"/>
      <c r="V24" s="384"/>
      <c r="W24" s="101"/>
      <c r="X24" s="59"/>
      <c r="Y24" s="107"/>
      <c r="Z24" s="37" t="str">
        <f t="shared" si="22"/>
        <v/>
      </c>
      <c r="AA24" s="203" t="s">
        <v>108</v>
      </c>
      <c r="AB24" t="str">
        <f t="shared" si="23"/>
        <v>No Entrant</v>
      </c>
      <c r="AC24" s="27" t="str">
        <f t="shared" si="24"/>
        <v/>
      </c>
      <c r="AD24" s="207" t="str">
        <f t="shared" si="25"/>
        <v/>
      </c>
      <c r="AE24" s="207" t="str">
        <f t="shared" si="26"/>
        <v/>
      </c>
      <c r="AF24" s="27" t="str">
        <f t="shared" si="27"/>
        <v>SH 0</v>
      </c>
      <c r="AG24" s="27" t="str">
        <f t="shared" si="28"/>
        <v/>
      </c>
      <c r="AH24" s="207" t="str">
        <f t="shared" si="29"/>
        <v/>
      </c>
      <c r="AI24" s="27" t="str">
        <f t="shared" si="30"/>
        <v>SH 0</v>
      </c>
      <c r="AJ24" s="27" t="str">
        <f t="shared" si="31"/>
        <v/>
      </c>
      <c r="AK24" t="str">
        <f t="shared" si="32"/>
        <v/>
      </c>
      <c r="AL24" s="333" t="str">
        <f>IF(OR(H24="",H24="N",H24="Y"),"",IF(VLOOKUP(H24,LastYrList!A:D,2,FALSE)="Did Not Shoot",CONCATENATE("Comp No. ",H24," Did Not Shoot Last Year!!"),""))</f>
        <v/>
      </c>
      <c r="AN24" t="str">
        <f t="shared" si="33"/>
        <v/>
      </c>
      <c r="AO24" s="333" t="str">
        <f t="shared" si="34"/>
        <v/>
      </c>
      <c r="AP24" s="333" t="str">
        <f t="shared" si="35"/>
        <v/>
      </c>
      <c r="AQ24" s="333" t="str">
        <f t="shared" si="36"/>
        <v/>
      </c>
      <c r="AR24" t="str">
        <f t="shared" si="37"/>
        <v/>
      </c>
      <c r="AS24" t="str">
        <f t="shared" si="38"/>
        <v/>
      </c>
      <c r="AT24" t="str">
        <f t="shared" si="39"/>
        <v/>
      </c>
      <c r="AU24" t="str">
        <f t="shared" si="40"/>
        <v/>
      </c>
      <c r="AV24" t="str">
        <f t="shared" si="41"/>
        <v/>
      </c>
      <c r="AW24" t="str">
        <f t="shared" si="42"/>
        <v/>
      </c>
      <c r="AX24" t="str">
        <f t="shared" si="43"/>
        <v/>
      </c>
      <c r="AY24" t="str">
        <f t="shared" si="14"/>
        <v/>
      </c>
      <c r="AZ24" t="str">
        <f t="shared" si="44"/>
        <v/>
      </c>
      <c r="BA24" t="str">
        <f t="shared" si="45"/>
        <v/>
      </c>
      <c r="BB24" t="str">
        <f t="shared" si="46"/>
        <v/>
      </c>
      <c r="BC24" t="str">
        <f t="shared" si="47"/>
        <v/>
      </c>
      <c r="BD24" s="338" t="str">
        <f t="shared" si="48"/>
        <v/>
      </c>
      <c r="BE24" s="338">
        <f t="shared" si="49"/>
        <v>0</v>
      </c>
      <c r="BF24" s="337" t="str">
        <f t="shared" si="50"/>
        <v/>
      </c>
      <c r="BG24" s="337" t="str">
        <f t="shared" si="51"/>
        <v/>
      </c>
      <c r="BH24" s="184" t="str">
        <f t="shared" si="21"/>
        <v/>
      </c>
      <c r="BN24"/>
      <c r="BO24"/>
    </row>
    <row r="25" spans="1:67" ht="13.5" x14ac:dyDescent="0.25">
      <c r="A25" s="254">
        <v>25</v>
      </c>
      <c r="B25" s="651"/>
      <c r="C25" s="650"/>
      <c r="D25" s="652"/>
      <c r="E25" s="101"/>
      <c r="F25" s="101"/>
      <c r="G25" s="63"/>
      <c r="H25" s="103"/>
      <c r="I25" s="103"/>
      <c r="J25" s="59"/>
      <c r="K25" s="59"/>
      <c r="L25" s="59"/>
      <c r="M25" s="59"/>
      <c r="N25" s="59"/>
      <c r="O25" s="59"/>
      <c r="P25" s="59"/>
      <c r="Q25" s="59"/>
      <c r="R25" s="59"/>
      <c r="S25" s="101"/>
      <c r="T25" s="59"/>
      <c r="U25" s="103"/>
      <c r="V25" s="384"/>
      <c r="W25" s="101"/>
      <c r="X25" s="59"/>
      <c r="Y25" s="107"/>
      <c r="Z25" s="37" t="str">
        <f t="shared" si="22"/>
        <v/>
      </c>
      <c r="AA25" s="203" t="s">
        <v>68</v>
      </c>
      <c r="AB25" t="str">
        <f t="shared" si="23"/>
        <v>No Entrant</v>
      </c>
      <c r="AC25" s="27" t="str">
        <f t="shared" si="24"/>
        <v/>
      </c>
      <c r="AD25" s="207" t="str">
        <f t="shared" si="25"/>
        <v/>
      </c>
      <c r="AE25" s="207" t="str">
        <f t="shared" si="26"/>
        <v/>
      </c>
      <c r="AF25" s="27" t="str">
        <f t="shared" si="27"/>
        <v>R 0</v>
      </c>
      <c r="AG25" s="27" t="e">
        <f>IF(VALUE(MID(AF25,4,2))&gt;1,CONCATENATE(LEFT(AF25,3),"","has too many over 18s - see Rule 14; "),"")</f>
        <v>#VALUE!</v>
      </c>
      <c r="AH25" s="207" t="str">
        <f t="shared" si="29"/>
        <v/>
      </c>
      <c r="AI25" s="27" t="str">
        <f t="shared" si="30"/>
        <v>R 0</v>
      </c>
      <c r="AJ25" s="27" t="e">
        <f t="shared" si="31"/>
        <v>#VALUE!</v>
      </c>
      <c r="AK25" t="str">
        <f t="shared" si="32"/>
        <v/>
      </c>
      <c r="AL25" s="333" t="str">
        <f>IF(OR(H25="",H25="N",H25="Y"),"",IF(VLOOKUP(H25,LastYrList!A:D,2,FALSE)="Did Not Shoot",CONCATENATE("Comp No. ",H25," Did Not Shoot Last Year!!"),""))</f>
        <v/>
      </c>
      <c r="AN25" t="str">
        <f t="shared" si="33"/>
        <v/>
      </c>
      <c r="AO25" s="333" t="str">
        <f t="shared" si="34"/>
        <v/>
      </c>
      <c r="AP25" s="333" t="str">
        <f t="shared" si="35"/>
        <v/>
      </c>
      <c r="AQ25" s="333" t="str">
        <f t="shared" si="36"/>
        <v/>
      </c>
      <c r="AR25" t="str">
        <f t="shared" si="37"/>
        <v/>
      </c>
      <c r="AS25" t="str">
        <f t="shared" si="38"/>
        <v/>
      </c>
      <c r="AT25" t="str">
        <f t="shared" si="39"/>
        <v/>
      </c>
      <c r="AU25" t="str">
        <f t="shared" si="40"/>
        <v/>
      </c>
      <c r="AV25" t="str">
        <f t="shared" si="41"/>
        <v/>
      </c>
      <c r="AW25" t="str">
        <f t="shared" si="42"/>
        <v/>
      </c>
      <c r="AX25" t="str">
        <f t="shared" si="43"/>
        <v/>
      </c>
      <c r="AY25" t="str">
        <f t="shared" si="14"/>
        <v/>
      </c>
      <c r="AZ25" t="str">
        <f t="shared" si="44"/>
        <v/>
      </c>
      <c r="BA25" t="str">
        <f t="shared" si="45"/>
        <v/>
      </c>
      <c r="BB25" t="str">
        <f t="shared" si="46"/>
        <v/>
      </c>
      <c r="BC25" t="str">
        <f t="shared" si="47"/>
        <v/>
      </c>
      <c r="BD25" s="338" t="str">
        <f t="shared" si="48"/>
        <v/>
      </c>
      <c r="BE25" s="338">
        <f t="shared" si="49"/>
        <v>0</v>
      </c>
      <c r="BF25" s="337" t="str">
        <f t="shared" si="50"/>
        <v/>
      </c>
      <c r="BG25" s="337" t="str">
        <f t="shared" si="51"/>
        <v/>
      </c>
      <c r="BH25" s="184" t="str">
        <f t="shared" si="21"/>
        <v/>
      </c>
      <c r="BN25"/>
      <c r="BO25"/>
    </row>
    <row r="26" spans="1:67" ht="13.5" x14ac:dyDescent="0.25">
      <c r="A26" s="254">
        <v>26</v>
      </c>
      <c r="B26" s="651"/>
      <c r="C26" s="650"/>
      <c r="D26" s="652"/>
      <c r="E26" s="101"/>
      <c r="F26" s="101"/>
      <c r="G26" s="63"/>
      <c r="H26" s="103"/>
      <c r="I26" s="103"/>
      <c r="J26" s="59"/>
      <c r="K26" s="59"/>
      <c r="L26" s="59"/>
      <c r="M26" s="59"/>
      <c r="N26" s="59"/>
      <c r="O26" s="59"/>
      <c r="P26" s="59"/>
      <c r="Q26" s="59"/>
      <c r="R26" s="59"/>
      <c r="S26" s="101"/>
      <c r="T26" s="59"/>
      <c r="U26" s="103"/>
      <c r="V26" s="384"/>
      <c r="W26" s="101"/>
      <c r="X26" s="59"/>
      <c r="Y26" s="107"/>
      <c r="Z26" s="37" t="str">
        <f t="shared" si="22"/>
        <v/>
      </c>
      <c r="AA26" s="203" t="s">
        <v>122</v>
      </c>
      <c r="AB26" t="str">
        <f t="shared" si="23"/>
        <v>No Entrant</v>
      </c>
      <c r="AC26" s="27" t="str">
        <f t="shared" si="24"/>
        <v/>
      </c>
      <c r="AD26" s="207" t="str">
        <f t="shared" si="25"/>
        <v/>
      </c>
      <c r="AE26" s="207" t="str">
        <f t="shared" si="26"/>
        <v/>
      </c>
      <c r="AF26" s="27" t="str">
        <f t="shared" si="27"/>
        <v>- 0</v>
      </c>
      <c r="AG26" s="27" t="e">
        <f t="shared" si="28"/>
        <v>#VALUE!</v>
      </c>
      <c r="AH26" s="207" t="str">
        <f t="shared" si="29"/>
        <v/>
      </c>
      <c r="AI26" s="27" t="str">
        <f t="shared" si="30"/>
        <v>- 0</v>
      </c>
      <c r="AJ26" s="27" t="e">
        <f t="shared" si="31"/>
        <v>#VALUE!</v>
      </c>
      <c r="AK26" t="str">
        <f t="shared" si="32"/>
        <v/>
      </c>
      <c r="AL26" s="333" t="str">
        <f>IF(OR(H26="",H26="N",H26="Y"),"",IF(VLOOKUP(H26,LastYrList!A:D,2,FALSE)="Did Not Shoot",CONCATENATE("Comp No. ",H26," Did Not Shoot Last Year!!"),""))</f>
        <v/>
      </c>
      <c r="AN26" t="str">
        <f t="shared" si="33"/>
        <v/>
      </c>
      <c r="AO26" s="333" t="str">
        <f t="shared" si="34"/>
        <v/>
      </c>
      <c r="AP26" s="333" t="str">
        <f t="shared" si="35"/>
        <v/>
      </c>
      <c r="AQ26" s="333" t="str">
        <f t="shared" si="36"/>
        <v/>
      </c>
      <c r="AR26" t="str">
        <f t="shared" si="37"/>
        <v/>
      </c>
      <c r="AS26" t="str">
        <f t="shared" si="38"/>
        <v/>
      </c>
      <c r="AT26" t="str">
        <f t="shared" si="39"/>
        <v/>
      </c>
      <c r="AU26" t="str">
        <f t="shared" si="40"/>
        <v/>
      </c>
      <c r="AV26" t="str">
        <f t="shared" si="41"/>
        <v/>
      </c>
      <c r="AW26" t="str">
        <f t="shared" si="42"/>
        <v/>
      </c>
      <c r="AX26" t="str">
        <f t="shared" si="43"/>
        <v/>
      </c>
      <c r="AY26" t="str">
        <f t="shared" si="14"/>
        <v/>
      </c>
      <c r="AZ26" t="str">
        <f t="shared" si="44"/>
        <v/>
      </c>
      <c r="BA26" t="str">
        <f t="shared" si="45"/>
        <v/>
      </c>
      <c r="BB26" t="str">
        <f t="shared" si="46"/>
        <v/>
      </c>
      <c r="BC26" t="str">
        <f t="shared" si="47"/>
        <v/>
      </c>
      <c r="BD26" s="338" t="str">
        <f t="shared" si="48"/>
        <v/>
      </c>
      <c r="BE26" s="338">
        <f t="shared" si="49"/>
        <v>0</v>
      </c>
      <c r="BF26" s="337" t="str">
        <f t="shared" si="50"/>
        <v/>
      </c>
      <c r="BG26" s="337" t="str">
        <f t="shared" si="51"/>
        <v/>
      </c>
      <c r="BH26" s="184" t="str">
        <f t="shared" si="21"/>
        <v/>
      </c>
      <c r="BN26"/>
      <c r="BO26"/>
    </row>
    <row r="27" spans="1:67" ht="13.5" x14ac:dyDescent="0.25">
      <c r="A27" s="254">
        <v>27</v>
      </c>
      <c r="B27" s="60"/>
      <c r="C27" s="650"/>
      <c r="D27" s="652"/>
      <c r="E27" s="101"/>
      <c r="F27" s="101"/>
      <c r="G27" s="63"/>
      <c r="H27" s="103"/>
      <c r="I27" s="103"/>
      <c r="J27" s="59"/>
      <c r="K27" s="59"/>
      <c r="L27" s="59"/>
      <c r="M27" s="59"/>
      <c r="N27" s="59"/>
      <c r="O27" s="59"/>
      <c r="P27" s="59"/>
      <c r="Q27" s="59"/>
      <c r="R27" s="59"/>
      <c r="S27" s="101"/>
      <c r="T27" s="59"/>
      <c r="U27" s="103"/>
      <c r="V27" s="384"/>
      <c r="W27" s="101"/>
      <c r="X27" s="59"/>
      <c r="Y27" s="107"/>
      <c r="Z27" s="37" t="str">
        <f t="shared" si="22"/>
        <v/>
      </c>
      <c r="AA27" s="203" t="s">
        <v>28</v>
      </c>
      <c r="AB27" t="str">
        <f t="shared" si="23"/>
        <v>No Entrant</v>
      </c>
      <c r="AC27" s="27" t="str">
        <f t="shared" si="24"/>
        <v/>
      </c>
      <c r="AD27" s="207" t="str">
        <f t="shared" si="25"/>
        <v/>
      </c>
      <c r="AE27" s="207" t="str">
        <f t="shared" si="26"/>
        <v/>
      </c>
      <c r="AF27" s="27" t="str">
        <f t="shared" si="27"/>
        <v>X 0</v>
      </c>
      <c r="AG27" s="27" t="e">
        <f t="shared" si="28"/>
        <v>#VALUE!</v>
      </c>
      <c r="AH27" s="207" t="str">
        <f t="shared" si="29"/>
        <v/>
      </c>
      <c r="AI27" s="27" t="str">
        <f t="shared" si="30"/>
        <v>X 0</v>
      </c>
      <c r="AJ27" s="27" t="e">
        <f t="shared" si="31"/>
        <v>#VALUE!</v>
      </c>
      <c r="AK27" t="str">
        <f t="shared" si="32"/>
        <v/>
      </c>
      <c r="AL27" s="333" t="str">
        <f>IF(OR(H27="",H27="N",H27="Y"),"",IF(VLOOKUP(H27,LastYrList!A:D,2,FALSE)="Did Not Shoot",CONCATENATE("Comp No. ",H27," Did Not Shoot Last Year!!"),""))</f>
        <v/>
      </c>
      <c r="AN27" t="str">
        <f t="shared" si="33"/>
        <v/>
      </c>
      <c r="AO27" s="333" t="str">
        <f t="shared" si="34"/>
        <v/>
      </c>
      <c r="AP27" s="333" t="str">
        <f t="shared" si="35"/>
        <v/>
      </c>
      <c r="AQ27" s="333" t="str">
        <f t="shared" si="36"/>
        <v/>
      </c>
      <c r="AR27" t="str">
        <f t="shared" si="37"/>
        <v/>
      </c>
      <c r="AS27" t="str">
        <f t="shared" si="38"/>
        <v/>
      </c>
      <c r="AT27" t="str">
        <f t="shared" si="39"/>
        <v/>
      </c>
      <c r="AU27" t="str">
        <f t="shared" si="40"/>
        <v/>
      </c>
      <c r="AV27" t="str">
        <f t="shared" si="41"/>
        <v/>
      </c>
      <c r="AW27" t="str">
        <f t="shared" si="42"/>
        <v/>
      </c>
      <c r="AX27" t="str">
        <f t="shared" si="43"/>
        <v/>
      </c>
      <c r="AY27" t="str">
        <f t="shared" si="14"/>
        <v/>
      </c>
      <c r="AZ27" t="str">
        <f t="shared" si="44"/>
        <v/>
      </c>
      <c r="BA27" t="str">
        <f t="shared" si="45"/>
        <v/>
      </c>
      <c r="BB27" t="str">
        <f t="shared" si="46"/>
        <v/>
      </c>
      <c r="BC27" t="str">
        <f t="shared" si="47"/>
        <v/>
      </c>
      <c r="BD27" s="338" t="str">
        <f t="shared" si="48"/>
        <v/>
      </c>
      <c r="BE27" s="338">
        <f t="shared" si="49"/>
        <v>0</v>
      </c>
      <c r="BF27" s="337" t="str">
        <f t="shared" si="50"/>
        <v/>
      </c>
      <c r="BG27" s="337" t="str">
        <f t="shared" si="51"/>
        <v/>
      </c>
      <c r="BH27" s="184" t="str">
        <f t="shared" si="21"/>
        <v/>
      </c>
      <c r="BN27"/>
      <c r="BO27"/>
    </row>
    <row r="28" spans="1:67" ht="13.5" x14ac:dyDescent="0.25">
      <c r="A28" s="254">
        <v>28</v>
      </c>
      <c r="B28" s="60"/>
      <c r="C28" s="650"/>
      <c r="D28" s="652"/>
      <c r="E28" s="101"/>
      <c r="F28" s="101"/>
      <c r="G28" s="63"/>
      <c r="H28" s="103"/>
      <c r="I28" s="103"/>
      <c r="J28" s="59"/>
      <c r="K28" s="59"/>
      <c r="L28" s="59"/>
      <c r="M28" s="59"/>
      <c r="N28" s="59"/>
      <c r="O28" s="59"/>
      <c r="P28" s="59"/>
      <c r="Q28" s="59"/>
      <c r="R28" s="59"/>
      <c r="S28" s="101"/>
      <c r="T28" s="59"/>
      <c r="U28" s="103"/>
      <c r="V28" s="384"/>
      <c r="W28" s="101"/>
      <c r="X28" s="59"/>
      <c r="Y28" s="107"/>
      <c r="Z28" s="37" t="str">
        <f t="shared" si="22"/>
        <v/>
      </c>
      <c r="AA28" s="203" t="s">
        <v>36</v>
      </c>
      <c r="AB28" t="str">
        <f t="shared" si="23"/>
        <v>No Entrant</v>
      </c>
      <c r="AC28" s="27" t="str">
        <f t="shared" si="24"/>
        <v/>
      </c>
      <c r="AD28" s="207" t="str">
        <f t="shared" si="25"/>
        <v/>
      </c>
      <c r="AE28" s="207" t="str">
        <f t="shared" si="26"/>
        <v/>
      </c>
      <c r="AF28" s="27" t="str">
        <f t="shared" si="27"/>
        <v>N 0</v>
      </c>
      <c r="AG28" s="27" t="e">
        <f t="shared" si="28"/>
        <v>#VALUE!</v>
      </c>
      <c r="AH28" s="207" t="str">
        <f t="shared" si="29"/>
        <v/>
      </c>
      <c r="AI28" s="27" t="str">
        <f t="shared" si="30"/>
        <v>N 0</v>
      </c>
      <c r="AJ28" s="27" t="e">
        <f t="shared" si="31"/>
        <v>#VALUE!</v>
      </c>
      <c r="AK28" t="str">
        <f t="shared" si="32"/>
        <v/>
      </c>
      <c r="AL28" s="333" t="str">
        <f>IF(OR(H28="",H28="N",H28="Y"),"",IF(VLOOKUP(H28,LastYrList!A:D,2,FALSE)="Did Not Shoot",CONCATENATE("Comp No. ",H28," Did Not Shoot Last Year!!"),""))</f>
        <v/>
      </c>
      <c r="AN28" t="str">
        <f t="shared" si="33"/>
        <v/>
      </c>
      <c r="AO28" s="333" t="str">
        <f t="shared" si="34"/>
        <v/>
      </c>
      <c r="AP28" s="333" t="str">
        <f t="shared" si="35"/>
        <v/>
      </c>
      <c r="AQ28" s="333" t="str">
        <f t="shared" si="36"/>
        <v/>
      </c>
      <c r="AR28" t="str">
        <f t="shared" si="37"/>
        <v/>
      </c>
      <c r="AS28" t="str">
        <f t="shared" si="38"/>
        <v/>
      </c>
      <c r="AT28" t="str">
        <f t="shared" si="39"/>
        <v/>
      </c>
      <c r="AU28" t="str">
        <f t="shared" si="40"/>
        <v/>
      </c>
      <c r="AV28" t="str">
        <f t="shared" si="41"/>
        <v/>
      </c>
      <c r="AW28" t="str">
        <f t="shared" si="42"/>
        <v/>
      </c>
      <c r="AX28" t="str">
        <f t="shared" si="43"/>
        <v/>
      </c>
      <c r="AY28" t="str">
        <f t="shared" si="14"/>
        <v/>
      </c>
      <c r="AZ28" t="str">
        <f t="shared" si="44"/>
        <v/>
      </c>
      <c r="BA28" t="str">
        <f t="shared" si="45"/>
        <v/>
      </c>
      <c r="BB28" t="str">
        <f t="shared" si="46"/>
        <v/>
      </c>
      <c r="BC28" t="str">
        <f t="shared" si="47"/>
        <v/>
      </c>
      <c r="BD28" s="338" t="str">
        <f t="shared" si="48"/>
        <v/>
      </c>
      <c r="BE28" s="338">
        <f t="shared" si="49"/>
        <v>0</v>
      </c>
      <c r="BF28" s="337" t="str">
        <f t="shared" si="50"/>
        <v/>
      </c>
      <c r="BG28" s="337" t="str">
        <f t="shared" si="51"/>
        <v/>
      </c>
      <c r="BH28" s="184" t="str">
        <f t="shared" si="21"/>
        <v/>
      </c>
      <c r="BN28"/>
      <c r="BO28"/>
    </row>
    <row r="29" spans="1:67" ht="13.5" x14ac:dyDescent="0.25">
      <c r="A29" s="254">
        <v>29</v>
      </c>
      <c r="B29" s="60"/>
      <c r="C29" s="650"/>
      <c r="D29" s="652"/>
      <c r="E29" s="101"/>
      <c r="F29" s="101"/>
      <c r="G29" s="63"/>
      <c r="H29" s="103"/>
      <c r="I29" s="103"/>
      <c r="J29" s="59"/>
      <c r="K29" s="59"/>
      <c r="L29" s="59"/>
      <c r="M29" s="59"/>
      <c r="N29" s="59"/>
      <c r="O29" s="59"/>
      <c r="P29" s="59"/>
      <c r="Q29" s="59"/>
      <c r="R29" s="59"/>
      <c r="S29" s="101"/>
      <c r="T29" s="59"/>
      <c r="U29" s="103"/>
      <c r="V29" s="384"/>
      <c r="W29" s="101"/>
      <c r="X29" s="59"/>
      <c r="Y29" s="107"/>
      <c r="Z29" s="37" t="str">
        <f t="shared" si="22"/>
        <v/>
      </c>
      <c r="AA29" s="203" t="s">
        <v>69</v>
      </c>
      <c r="AB29" t="str">
        <f t="shared" si="23"/>
        <v>No Entrant</v>
      </c>
      <c r="AC29" s="27" t="str">
        <f t="shared" si="24"/>
        <v/>
      </c>
      <c r="AD29" s="207" t="str">
        <f t="shared" si="25"/>
        <v/>
      </c>
      <c r="AE29" s="207" t="str">
        <f t="shared" si="26"/>
        <v/>
      </c>
      <c r="AF29" s="27" t="str">
        <f t="shared" si="27"/>
        <v>L 0</v>
      </c>
      <c r="AG29" s="27" t="e">
        <f t="shared" si="28"/>
        <v>#VALUE!</v>
      </c>
      <c r="AH29" s="207" t="str">
        <f t="shared" si="29"/>
        <v/>
      </c>
      <c r="AI29" s="27" t="str">
        <f t="shared" si="30"/>
        <v>L 0</v>
      </c>
      <c r="AJ29" s="27" t="e">
        <f t="shared" si="31"/>
        <v>#VALUE!</v>
      </c>
      <c r="AK29" t="str">
        <f t="shared" si="32"/>
        <v/>
      </c>
      <c r="AL29" s="333" t="str">
        <f>IF(OR(H29="",H29="N",H29="Y"),"",IF(VLOOKUP(H29,LastYrList!A:D,2,FALSE)="Did Not Shoot",CONCATENATE("Comp No. ",H29," Did Not Shoot Last Year!!"),""))</f>
        <v/>
      </c>
      <c r="AN29" t="str">
        <f t="shared" si="33"/>
        <v/>
      </c>
      <c r="AO29" s="333" t="str">
        <f t="shared" si="34"/>
        <v/>
      </c>
      <c r="AP29" s="333" t="str">
        <f t="shared" si="35"/>
        <v/>
      </c>
      <c r="AQ29" s="333" t="str">
        <f t="shared" si="36"/>
        <v/>
      </c>
      <c r="AR29" t="str">
        <f t="shared" si="37"/>
        <v/>
      </c>
      <c r="AS29" t="str">
        <f t="shared" si="38"/>
        <v/>
      </c>
      <c r="AT29" t="str">
        <f t="shared" si="39"/>
        <v/>
      </c>
      <c r="AU29" t="str">
        <f t="shared" si="40"/>
        <v/>
      </c>
      <c r="AV29" t="str">
        <f t="shared" si="41"/>
        <v/>
      </c>
      <c r="AW29" t="str">
        <f t="shared" si="42"/>
        <v/>
      </c>
      <c r="AX29" t="str">
        <f t="shared" si="43"/>
        <v/>
      </c>
      <c r="AY29" t="str">
        <f t="shared" si="14"/>
        <v/>
      </c>
      <c r="AZ29" t="str">
        <f t="shared" si="44"/>
        <v/>
      </c>
      <c r="BA29" t="str">
        <f t="shared" si="45"/>
        <v/>
      </c>
      <c r="BB29" t="str">
        <f t="shared" si="46"/>
        <v/>
      </c>
      <c r="BC29" t="str">
        <f t="shared" si="47"/>
        <v/>
      </c>
      <c r="BD29" s="338" t="str">
        <f t="shared" si="48"/>
        <v/>
      </c>
      <c r="BE29" s="338">
        <f t="shared" si="49"/>
        <v>0</v>
      </c>
      <c r="BF29" s="337" t="str">
        <f t="shared" si="50"/>
        <v/>
      </c>
      <c r="BG29" s="337" t="str">
        <f t="shared" si="51"/>
        <v/>
      </c>
      <c r="BH29" s="184" t="str">
        <f t="shared" si="21"/>
        <v/>
      </c>
      <c r="BN29"/>
      <c r="BO29"/>
    </row>
    <row r="30" spans="1:67" ht="13.5" x14ac:dyDescent="0.25">
      <c r="A30" s="254">
        <v>30</v>
      </c>
      <c r="B30" s="60"/>
      <c r="C30" s="650"/>
      <c r="D30" s="652"/>
      <c r="E30" s="101"/>
      <c r="F30" s="101"/>
      <c r="G30" s="63"/>
      <c r="H30" s="103"/>
      <c r="I30" s="103"/>
      <c r="J30" s="59"/>
      <c r="K30" s="59"/>
      <c r="L30" s="59"/>
      <c r="M30" s="59"/>
      <c r="N30" s="59"/>
      <c r="O30" s="59"/>
      <c r="P30" s="59"/>
      <c r="Q30" s="59"/>
      <c r="R30" s="59"/>
      <c r="S30" s="101"/>
      <c r="T30" s="59"/>
      <c r="U30" s="103"/>
      <c r="V30" s="384"/>
      <c r="W30" s="101"/>
      <c r="X30" s="59"/>
      <c r="Y30" s="107"/>
      <c r="Z30" s="37" t="str">
        <f t="shared" si="22"/>
        <v/>
      </c>
      <c r="AA30" s="203" t="s">
        <v>35</v>
      </c>
      <c r="AB30" t="str">
        <f t="shared" si="23"/>
        <v>No Entrant</v>
      </c>
      <c r="AC30" s="27" t="str">
        <f t="shared" si="24"/>
        <v/>
      </c>
      <c r="AD30" s="207" t="str">
        <f t="shared" si="25"/>
        <v/>
      </c>
      <c r="AE30" s="207" t="str">
        <f t="shared" si="26"/>
        <v/>
      </c>
      <c r="AF30" s="27" t="str">
        <f t="shared" si="27"/>
        <v>Y 0</v>
      </c>
      <c r="AG30" s="27" t="e">
        <f t="shared" si="28"/>
        <v>#VALUE!</v>
      </c>
      <c r="AH30" s="207" t="str">
        <f t="shared" si="29"/>
        <v/>
      </c>
      <c r="AI30" s="27" t="str">
        <f t="shared" si="30"/>
        <v>Y 0</v>
      </c>
      <c r="AJ30" s="27" t="e">
        <f t="shared" si="31"/>
        <v>#VALUE!</v>
      </c>
      <c r="AK30" t="str">
        <f t="shared" si="32"/>
        <v/>
      </c>
      <c r="AL30" s="333" t="str">
        <f>IF(OR(H30="",H30="N",H30="Y"),"",IF(VLOOKUP(H30,LastYrList!A:D,2,FALSE)="Did Not Shoot",CONCATENATE("Comp No. ",H30," Did Not Shoot Last Year!!"),""))</f>
        <v/>
      </c>
      <c r="AN30" t="str">
        <f t="shared" si="33"/>
        <v/>
      </c>
      <c r="AO30" s="333" t="str">
        <f t="shared" si="34"/>
        <v/>
      </c>
      <c r="AP30" s="333" t="str">
        <f t="shared" si="35"/>
        <v/>
      </c>
      <c r="AQ30" s="333" t="str">
        <f t="shared" si="36"/>
        <v/>
      </c>
      <c r="AR30" t="str">
        <f t="shared" si="37"/>
        <v/>
      </c>
      <c r="AS30" t="str">
        <f t="shared" si="38"/>
        <v/>
      </c>
      <c r="AT30" t="str">
        <f t="shared" si="39"/>
        <v/>
      </c>
      <c r="AU30" t="str">
        <f t="shared" si="40"/>
        <v/>
      </c>
      <c r="AV30" t="str">
        <f t="shared" si="41"/>
        <v/>
      </c>
      <c r="AW30" t="str">
        <f t="shared" si="42"/>
        <v/>
      </c>
      <c r="AX30" t="str">
        <f t="shared" si="43"/>
        <v/>
      </c>
      <c r="AY30" t="str">
        <f t="shared" si="14"/>
        <v/>
      </c>
      <c r="AZ30" t="str">
        <f t="shared" si="44"/>
        <v/>
      </c>
      <c r="BA30" t="str">
        <f t="shared" si="45"/>
        <v/>
      </c>
      <c r="BB30" t="str">
        <f t="shared" si="46"/>
        <v/>
      </c>
      <c r="BC30" t="str">
        <f t="shared" si="47"/>
        <v/>
      </c>
      <c r="BD30" s="338" t="str">
        <f t="shared" si="48"/>
        <v/>
      </c>
      <c r="BE30" s="338">
        <f t="shared" si="49"/>
        <v>0</v>
      </c>
      <c r="BF30" s="337" t="str">
        <f t="shared" si="50"/>
        <v/>
      </c>
      <c r="BG30" s="337" t="str">
        <f t="shared" si="51"/>
        <v/>
      </c>
      <c r="BH30" s="184" t="str">
        <f t="shared" si="21"/>
        <v/>
      </c>
      <c r="BN30"/>
      <c r="BO30"/>
    </row>
    <row r="31" spans="1:67" ht="13.5" x14ac:dyDescent="0.25">
      <c r="A31" s="254">
        <v>31</v>
      </c>
      <c r="B31" s="60"/>
      <c r="C31" s="650"/>
      <c r="D31" s="652"/>
      <c r="E31" s="101"/>
      <c r="F31" s="101"/>
      <c r="G31" s="63"/>
      <c r="H31" s="103"/>
      <c r="I31" s="103"/>
      <c r="J31" s="59"/>
      <c r="K31" s="59"/>
      <c r="L31" s="59"/>
      <c r="M31" s="59"/>
      <c r="N31" s="59"/>
      <c r="O31" s="59"/>
      <c r="P31" s="59"/>
      <c r="Q31" s="59"/>
      <c r="R31" s="59"/>
      <c r="S31" s="101"/>
      <c r="T31" s="59"/>
      <c r="U31" s="103"/>
      <c r="V31" s="384"/>
      <c r="W31" s="101"/>
      <c r="X31" s="59"/>
      <c r="Y31" s="107"/>
      <c r="Z31" s="37" t="str">
        <f t="shared" si="22"/>
        <v/>
      </c>
      <c r="AA31" s="203" t="s">
        <v>67</v>
      </c>
      <c r="AB31" t="str">
        <f t="shared" si="23"/>
        <v>No Entrant</v>
      </c>
      <c r="AC31" s="27" t="str">
        <f t="shared" si="24"/>
        <v/>
      </c>
      <c r="AD31" s="207" t="str">
        <f t="shared" si="25"/>
        <v/>
      </c>
      <c r="AE31" s="207" t="str">
        <f t="shared" si="26"/>
        <v/>
      </c>
      <c r="AF31" s="27" t="str">
        <f t="shared" si="27"/>
        <v>Y1Share 0</v>
      </c>
      <c r="AG31" s="27" t="e">
        <f t="shared" si="28"/>
        <v>#VALUE!</v>
      </c>
      <c r="AH31" s="207" t="str">
        <f t="shared" si="29"/>
        <v/>
      </c>
      <c r="AI31" s="27" t="str">
        <f t="shared" si="30"/>
        <v>Y1Share 0</v>
      </c>
      <c r="AJ31" s="27" t="e">
        <f t="shared" si="31"/>
        <v>#VALUE!</v>
      </c>
      <c r="AK31" t="str">
        <f t="shared" si="32"/>
        <v/>
      </c>
      <c r="AL31" s="333" t="str">
        <f>IF(OR(H31="",H31="N",H31="Y"),"",IF(VLOOKUP(H31,LastYrList!A:D,2,FALSE)="Did Not Shoot",CONCATENATE("Comp No. ",H31," Did Not Shoot Last Year!!"),""))</f>
        <v/>
      </c>
      <c r="AN31" t="str">
        <f t="shared" si="33"/>
        <v/>
      </c>
      <c r="AO31" s="333" t="str">
        <f t="shared" si="34"/>
        <v/>
      </c>
      <c r="AP31" s="333" t="str">
        <f t="shared" si="35"/>
        <v/>
      </c>
      <c r="AQ31" s="333" t="str">
        <f t="shared" si="36"/>
        <v/>
      </c>
      <c r="AR31" t="str">
        <f t="shared" si="37"/>
        <v/>
      </c>
      <c r="AS31" t="str">
        <f t="shared" si="38"/>
        <v/>
      </c>
      <c r="AT31" t="str">
        <f t="shared" si="39"/>
        <v/>
      </c>
      <c r="AU31" t="str">
        <f t="shared" si="40"/>
        <v/>
      </c>
      <c r="AV31" t="str">
        <f t="shared" si="41"/>
        <v/>
      </c>
      <c r="AW31" t="str">
        <f t="shared" si="42"/>
        <v/>
      </c>
      <c r="AX31" t="str">
        <f t="shared" si="43"/>
        <v/>
      </c>
      <c r="AY31" t="str">
        <f t="shared" si="14"/>
        <v/>
      </c>
      <c r="AZ31" t="str">
        <f t="shared" si="44"/>
        <v/>
      </c>
      <c r="BA31" t="str">
        <f t="shared" si="45"/>
        <v/>
      </c>
      <c r="BB31" t="str">
        <f t="shared" si="46"/>
        <v/>
      </c>
      <c r="BC31" t="str">
        <f t="shared" si="47"/>
        <v/>
      </c>
      <c r="BD31" s="338" t="str">
        <f t="shared" si="48"/>
        <v/>
      </c>
      <c r="BE31" s="338">
        <f t="shared" si="49"/>
        <v>0</v>
      </c>
      <c r="BF31" s="337" t="str">
        <f t="shared" si="50"/>
        <v/>
      </c>
      <c r="BG31" s="337" t="str">
        <f t="shared" si="51"/>
        <v/>
      </c>
      <c r="BH31" s="184" t="str">
        <f t="shared" si="21"/>
        <v/>
      </c>
      <c r="BN31"/>
      <c r="BO31"/>
    </row>
    <row r="32" spans="1:67" ht="13.5" x14ac:dyDescent="0.25">
      <c r="A32" s="254">
        <v>32</v>
      </c>
      <c r="B32" s="60"/>
      <c r="C32" s="650"/>
      <c r="D32" s="652"/>
      <c r="E32" s="101"/>
      <c r="F32" s="101"/>
      <c r="G32" s="63"/>
      <c r="H32" s="103"/>
      <c r="I32" s="103"/>
      <c r="J32" s="59"/>
      <c r="K32" s="59"/>
      <c r="L32" s="59"/>
      <c r="M32" s="59"/>
      <c r="N32" s="59"/>
      <c r="O32" s="59"/>
      <c r="P32" s="59"/>
      <c r="Q32" s="59"/>
      <c r="R32" s="59"/>
      <c r="S32" s="101"/>
      <c r="T32" s="59"/>
      <c r="U32" s="103"/>
      <c r="V32" s="384"/>
      <c r="W32" s="101"/>
      <c r="X32" s="59"/>
      <c r="Y32" s="107"/>
      <c r="Z32" s="37" t="str">
        <f t="shared" si="22"/>
        <v/>
      </c>
      <c r="AA32" s="203" t="s">
        <v>66</v>
      </c>
      <c r="AB32" t="str">
        <f t="shared" si="23"/>
        <v>No Entrant</v>
      </c>
      <c r="AC32" s="27" t="str">
        <f t="shared" si="24"/>
        <v/>
      </c>
      <c r="AD32" s="207" t="str">
        <f t="shared" si="25"/>
        <v/>
      </c>
      <c r="AE32" s="207" t="str">
        <f t="shared" si="26"/>
        <v/>
      </c>
      <c r="AF32" s="27" t="str">
        <f t="shared" si="27"/>
        <v>Y2Share 0</v>
      </c>
      <c r="AG32" s="27" t="e">
        <f t="shared" si="28"/>
        <v>#VALUE!</v>
      </c>
      <c r="AH32" s="207" t="str">
        <f t="shared" si="29"/>
        <v/>
      </c>
      <c r="AI32" s="27" t="str">
        <f t="shared" si="30"/>
        <v>Y2Share 0</v>
      </c>
      <c r="AJ32" s="27" t="e">
        <f t="shared" si="31"/>
        <v>#VALUE!</v>
      </c>
      <c r="AK32" t="str">
        <f t="shared" si="32"/>
        <v/>
      </c>
      <c r="AL32" s="333" t="str">
        <f>IF(OR(H32="",H32="N",H32="Y"),"",IF(VLOOKUP(H32,LastYrList!A:D,2,FALSE)="Did Not Shoot",CONCATENATE("Comp No. ",H32," Did Not Shoot Last Year!!"),""))</f>
        <v/>
      </c>
      <c r="AN32" t="str">
        <f t="shared" si="33"/>
        <v/>
      </c>
      <c r="AO32" s="333" t="str">
        <f t="shared" si="34"/>
        <v/>
      </c>
      <c r="AP32" s="333" t="str">
        <f t="shared" si="35"/>
        <v/>
      </c>
      <c r="AQ32" s="333" t="str">
        <f t="shared" si="36"/>
        <v/>
      </c>
      <c r="AR32" t="str">
        <f t="shared" si="37"/>
        <v/>
      </c>
      <c r="AS32" t="str">
        <f t="shared" si="38"/>
        <v/>
      </c>
      <c r="AT32" t="str">
        <f t="shared" si="39"/>
        <v/>
      </c>
      <c r="AU32" t="str">
        <f t="shared" si="40"/>
        <v/>
      </c>
      <c r="AV32" t="str">
        <f t="shared" si="41"/>
        <v/>
      </c>
      <c r="AW32" t="str">
        <f t="shared" si="42"/>
        <v/>
      </c>
      <c r="AX32" t="str">
        <f t="shared" si="43"/>
        <v/>
      </c>
      <c r="AY32" t="str">
        <f t="shared" si="14"/>
        <v/>
      </c>
      <c r="AZ32" t="str">
        <f t="shared" si="44"/>
        <v/>
      </c>
      <c r="BA32" t="str">
        <f t="shared" si="45"/>
        <v/>
      </c>
      <c r="BB32" t="str">
        <f t="shared" si="46"/>
        <v/>
      </c>
      <c r="BC32" t="str">
        <f t="shared" si="47"/>
        <v/>
      </c>
      <c r="BD32" s="338" t="str">
        <f t="shared" si="48"/>
        <v/>
      </c>
      <c r="BE32" s="338">
        <f t="shared" si="49"/>
        <v>0</v>
      </c>
      <c r="BF32" s="337" t="str">
        <f t="shared" si="50"/>
        <v/>
      </c>
      <c r="BG32" s="337" t="str">
        <f t="shared" si="51"/>
        <v/>
      </c>
      <c r="BH32" s="184" t="str">
        <f t="shared" si="21"/>
        <v/>
      </c>
      <c r="BN32"/>
      <c r="BO32"/>
    </row>
    <row r="33" spans="1:67" ht="13.5" x14ac:dyDescent="0.25">
      <c r="A33" s="254">
        <v>33</v>
      </c>
      <c r="B33" s="60"/>
      <c r="C33" s="650"/>
      <c r="D33" s="62"/>
      <c r="E33" s="101"/>
      <c r="F33" s="101"/>
      <c r="G33" s="63"/>
      <c r="H33" s="103"/>
      <c r="I33" s="103"/>
      <c r="J33" s="59"/>
      <c r="K33" s="59"/>
      <c r="L33" s="59"/>
      <c r="M33" s="59"/>
      <c r="N33" s="59"/>
      <c r="O33" s="59"/>
      <c r="P33" s="59"/>
      <c r="Q33" s="59"/>
      <c r="R33" s="59"/>
      <c r="S33" s="101"/>
      <c r="T33" s="59"/>
      <c r="U33" s="103"/>
      <c r="V33" s="384"/>
      <c r="W33" s="101"/>
      <c r="X33" s="59"/>
      <c r="Y33" s="107"/>
      <c r="Z33" s="37" t="str">
        <f t="shared" si="22"/>
        <v/>
      </c>
      <c r="AA33" s="203" t="s">
        <v>65</v>
      </c>
      <c r="AB33" t="str">
        <f t="shared" si="23"/>
        <v>No Entrant</v>
      </c>
      <c r="AC33" s="27" t="str">
        <f t="shared" si="24"/>
        <v/>
      </c>
      <c r="AD33" s="207" t="str">
        <f t="shared" si="25"/>
        <v/>
      </c>
      <c r="AE33" s="207" t="str">
        <f t="shared" si="26"/>
        <v/>
      </c>
      <c r="AF33" s="27" t="str">
        <f t="shared" si="27"/>
        <v>Y3Share 0</v>
      </c>
      <c r="AG33" s="27" t="e">
        <f t="shared" si="28"/>
        <v>#VALUE!</v>
      </c>
      <c r="AH33" s="207" t="str">
        <f t="shared" si="29"/>
        <v/>
      </c>
      <c r="AI33" s="27" t="str">
        <f t="shared" si="30"/>
        <v>Y3Share 0</v>
      </c>
      <c r="AJ33" s="27" t="e">
        <f t="shared" si="31"/>
        <v>#VALUE!</v>
      </c>
      <c r="AK33" t="str">
        <f t="shared" si="32"/>
        <v/>
      </c>
      <c r="AL33" s="333" t="str">
        <f>IF(OR(H33="",H33="N",H33="Y"),"",IF(VLOOKUP(H33,LastYrList!A:D,2,FALSE)="Did Not Shoot",CONCATENATE("Comp No. ",H33," Did Not Shoot Last Year!!"),""))</f>
        <v/>
      </c>
      <c r="AN33" t="str">
        <f t="shared" si="33"/>
        <v/>
      </c>
      <c r="AO33" s="333" t="str">
        <f t="shared" si="34"/>
        <v/>
      </c>
      <c r="AP33" s="333" t="str">
        <f t="shared" si="35"/>
        <v/>
      </c>
      <c r="AQ33" s="333" t="str">
        <f t="shared" si="36"/>
        <v/>
      </c>
      <c r="AR33" t="str">
        <f t="shared" si="37"/>
        <v/>
      </c>
      <c r="AS33" t="str">
        <f t="shared" si="38"/>
        <v/>
      </c>
      <c r="AT33" t="str">
        <f t="shared" si="39"/>
        <v/>
      </c>
      <c r="AU33" t="str">
        <f t="shared" si="40"/>
        <v/>
      </c>
      <c r="AV33" t="str">
        <f t="shared" si="41"/>
        <v/>
      </c>
      <c r="AW33" t="str">
        <f t="shared" si="42"/>
        <v/>
      </c>
      <c r="AX33" t="str">
        <f t="shared" si="43"/>
        <v/>
      </c>
      <c r="AY33" t="str">
        <f t="shared" si="14"/>
        <v/>
      </c>
      <c r="AZ33" t="str">
        <f t="shared" si="44"/>
        <v/>
      </c>
      <c r="BA33" t="str">
        <f t="shared" si="45"/>
        <v/>
      </c>
      <c r="BB33" t="str">
        <f t="shared" si="46"/>
        <v/>
      </c>
      <c r="BC33" t="str">
        <f t="shared" si="47"/>
        <v/>
      </c>
      <c r="BD33" s="338" t="str">
        <f t="shared" si="48"/>
        <v/>
      </c>
      <c r="BE33" s="338">
        <f t="shared" si="49"/>
        <v>0</v>
      </c>
      <c r="BF33" s="337" t="str">
        <f t="shared" si="50"/>
        <v/>
      </c>
      <c r="BG33" s="337" t="str">
        <f t="shared" si="51"/>
        <v/>
      </c>
      <c r="BH33" s="184" t="str">
        <f t="shared" si="21"/>
        <v/>
      </c>
      <c r="BN33"/>
      <c r="BO33"/>
    </row>
    <row r="34" spans="1:67" ht="13.5" x14ac:dyDescent="0.25">
      <c r="A34" s="254">
        <v>34</v>
      </c>
      <c r="B34" s="60"/>
      <c r="C34" s="650"/>
      <c r="D34" s="62"/>
      <c r="E34" s="101"/>
      <c r="F34" s="101"/>
      <c r="G34" s="63"/>
      <c r="H34" s="103"/>
      <c r="I34" s="103"/>
      <c r="J34" s="59"/>
      <c r="K34" s="59"/>
      <c r="L34" s="59"/>
      <c r="M34" s="59"/>
      <c r="N34" s="59"/>
      <c r="O34" s="59"/>
      <c r="P34" s="59"/>
      <c r="Q34" s="59"/>
      <c r="R34" s="59"/>
      <c r="S34" s="101"/>
      <c r="T34" s="59"/>
      <c r="U34" s="103"/>
      <c r="V34" s="384"/>
      <c r="W34" s="101"/>
      <c r="X34" s="59"/>
      <c r="Y34" s="107"/>
      <c r="Z34" s="37" t="str">
        <f t="shared" si="22"/>
        <v/>
      </c>
      <c r="AA34" s="203" t="s">
        <v>64</v>
      </c>
      <c r="AB34" t="str">
        <f t="shared" si="23"/>
        <v>No Entrant</v>
      </c>
      <c r="AC34" s="27" t="str">
        <f t="shared" si="24"/>
        <v/>
      </c>
      <c r="AD34" s="207" t="str">
        <f t="shared" si="25"/>
        <v/>
      </c>
      <c r="AE34" s="207" t="str">
        <f t="shared" si="26"/>
        <v/>
      </c>
      <c r="AF34" s="27" t="str">
        <f t="shared" si="27"/>
        <v>Y4Share 0</v>
      </c>
      <c r="AG34" s="27" t="e">
        <f t="shared" si="28"/>
        <v>#VALUE!</v>
      </c>
      <c r="AH34" s="207" t="str">
        <f t="shared" si="29"/>
        <v/>
      </c>
      <c r="AI34" s="27" t="str">
        <f t="shared" si="30"/>
        <v>Y4Share 0</v>
      </c>
      <c r="AJ34" s="27" t="e">
        <f t="shared" si="31"/>
        <v>#VALUE!</v>
      </c>
      <c r="AK34" t="str">
        <f t="shared" si="32"/>
        <v/>
      </c>
      <c r="AL34" s="333" t="str">
        <f>IF(OR(H34="",H34="N",H34="Y"),"",IF(VLOOKUP(H34,LastYrList!A:D,2,FALSE)="Did Not Shoot",CONCATENATE("Comp No. ",H34," Did Not Shoot Last Year!!"),""))</f>
        <v/>
      </c>
      <c r="AN34" t="str">
        <f t="shared" si="33"/>
        <v/>
      </c>
      <c r="AO34" s="333" t="str">
        <f t="shared" si="34"/>
        <v/>
      </c>
      <c r="AP34" s="333" t="str">
        <f t="shared" si="35"/>
        <v/>
      </c>
      <c r="AQ34" s="333" t="str">
        <f t="shared" si="36"/>
        <v/>
      </c>
      <c r="AR34" t="str">
        <f t="shared" si="37"/>
        <v/>
      </c>
      <c r="AS34" t="str">
        <f t="shared" si="38"/>
        <v/>
      </c>
      <c r="AT34" t="str">
        <f t="shared" si="39"/>
        <v/>
      </c>
      <c r="AU34" t="str">
        <f t="shared" si="40"/>
        <v/>
      </c>
      <c r="AV34" t="str">
        <f t="shared" si="41"/>
        <v/>
      </c>
      <c r="AW34" t="str">
        <f t="shared" si="42"/>
        <v/>
      </c>
      <c r="AX34" t="str">
        <f t="shared" si="43"/>
        <v/>
      </c>
      <c r="AY34" t="str">
        <f t="shared" si="14"/>
        <v/>
      </c>
      <c r="AZ34" t="str">
        <f t="shared" si="44"/>
        <v/>
      </c>
      <c r="BA34" t="str">
        <f t="shared" si="45"/>
        <v/>
      </c>
      <c r="BB34" t="str">
        <f t="shared" si="46"/>
        <v/>
      </c>
      <c r="BC34" t="str">
        <f t="shared" si="47"/>
        <v/>
      </c>
      <c r="BD34" s="338" t="str">
        <f t="shared" si="48"/>
        <v/>
      </c>
      <c r="BE34" s="338">
        <f t="shared" si="49"/>
        <v>0</v>
      </c>
      <c r="BF34" s="337" t="str">
        <f t="shared" si="50"/>
        <v/>
      </c>
      <c r="BG34" s="337" t="str">
        <f t="shared" si="51"/>
        <v/>
      </c>
      <c r="BH34" s="184" t="str">
        <f t="shared" si="21"/>
        <v/>
      </c>
      <c r="BN34"/>
      <c r="BO34"/>
    </row>
    <row r="35" spans="1:67" ht="13.5" x14ac:dyDescent="0.25">
      <c r="A35" s="254">
        <v>35</v>
      </c>
      <c r="B35" s="60"/>
      <c r="C35" s="650"/>
      <c r="D35" s="62"/>
      <c r="E35" s="101"/>
      <c r="F35" s="101"/>
      <c r="G35" s="63"/>
      <c r="H35" s="103"/>
      <c r="I35" s="103"/>
      <c r="J35" s="59"/>
      <c r="K35" s="59"/>
      <c r="L35" s="59"/>
      <c r="M35" s="59"/>
      <c r="N35" s="59"/>
      <c r="O35" s="59"/>
      <c r="P35" s="59"/>
      <c r="Q35" s="59"/>
      <c r="R35" s="59"/>
      <c r="S35" s="101"/>
      <c r="T35" s="59"/>
      <c r="U35" s="103"/>
      <c r="V35" s="384"/>
      <c r="W35" s="101"/>
      <c r="X35" s="59"/>
      <c r="Y35" s="107"/>
      <c r="Z35" s="37" t="str">
        <f t="shared" si="22"/>
        <v/>
      </c>
      <c r="AA35" s="203" t="s">
        <v>63</v>
      </c>
      <c r="AB35" t="str">
        <f t="shared" si="23"/>
        <v>No Entrant</v>
      </c>
      <c r="AC35" s="27" t="str">
        <f t="shared" si="24"/>
        <v/>
      </c>
      <c r="AD35" s="207" t="str">
        <f t="shared" si="25"/>
        <v/>
      </c>
      <c r="AE35" s="207" t="str">
        <f t="shared" si="26"/>
        <v/>
      </c>
      <c r="AF35" s="27" t="str">
        <f t="shared" si="27"/>
        <v>Y5Share 0</v>
      </c>
      <c r="AG35" s="27" t="e">
        <f t="shared" si="28"/>
        <v>#VALUE!</v>
      </c>
      <c r="AH35" s="207" t="str">
        <f t="shared" si="29"/>
        <v/>
      </c>
      <c r="AI35" s="27" t="str">
        <f t="shared" si="30"/>
        <v>Y5Share 0</v>
      </c>
      <c r="AJ35" s="27" t="e">
        <f t="shared" si="31"/>
        <v>#VALUE!</v>
      </c>
      <c r="AK35" t="str">
        <f t="shared" si="32"/>
        <v/>
      </c>
      <c r="AL35" s="333" t="str">
        <f>IF(OR(H35="",H35="N",H35="Y"),"",IF(VLOOKUP(H35,LastYrList!A:D,2,FALSE)="Did Not Shoot",CONCATENATE("Comp No. ",H35," Did Not Shoot Last Year!!"),""))</f>
        <v/>
      </c>
      <c r="AN35" t="str">
        <f t="shared" si="33"/>
        <v/>
      </c>
      <c r="AO35" s="333" t="str">
        <f t="shared" si="34"/>
        <v/>
      </c>
      <c r="AP35" s="333" t="str">
        <f t="shared" si="35"/>
        <v/>
      </c>
      <c r="AQ35" s="333" t="str">
        <f t="shared" si="36"/>
        <v/>
      </c>
      <c r="AR35" t="str">
        <f t="shared" si="37"/>
        <v/>
      </c>
      <c r="AS35" t="str">
        <f t="shared" si="38"/>
        <v/>
      </c>
      <c r="AT35" t="str">
        <f t="shared" si="39"/>
        <v/>
      </c>
      <c r="AU35" t="str">
        <f t="shared" si="40"/>
        <v/>
      </c>
      <c r="AV35" t="str">
        <f t="shared" si="41"/>
        <v/>
      </c>
      <c r="AW35" t="str">
        <f t="shared" si="42"/>
        <v/>
      </c>
      <c r="AX35" t="str">
        <f t="shared" si="43"/>
        <v/>
      </c>
      <c r="AY35" t="str">
        <f t="shared" si="14"/>
        <v/>
      </c>
      <c r="AZ35" t="str">
        <f t="shared" si="44"/>
        <v/>
      </c>
      <c r="BA35" t="str">
        <f t="shared" si="45"/>
        <v/>
      </c>
      <c r="BB35" t="str">
        <f t="shared" si="46"/>
        <v/>
      </c>
      <c r="BC35" t="str">
        <f t="shared" si="47"/>
        <v/>
      </c>
      <c r="BD35" s="338" t="str">
        <f t="shared" si="48"/>
        <v/>
      </c>
      <c r="BE35" s="338">
        <f t="shared" si="49"/>
        <v>0</v>
      </c>
      <c r="BF35" s="337" t="str">
        <f t="shared" si="50"/>
        <v/>
      </c>
      <c r="BG35" s="337" t="str">
        <f t="shared" si="51"/>
        <v/>
      </c>
      <c r="BH35" s="184" t="str">
        <f t="shared" si="21"/>
        <v/>
      </c>
      <c r="BN35"/>
      <c r="BO35"/>
    </row>
    <row r="36" spans="1:67" ht="13.5" x14ac:dyDescent="0.25">
      <c r="A36" s="254">
        <v>36</v>
      </c>
      <c r="B36" s="60"/>
      <c r="C36" s="650"/>
      <c r="D36" s="62"/>
      <c r="E36" s="101"/>
      <c r="F36" s="101"/>
      <c r="G36" s="63"/>
      <c r="H36" s="103"/>
      <c r="I36" s="103"/>
      <c r="J36" s="59"/>
      <c r="K36" s="59"/>
      <c r="L36" s="59"/>
      <c r="M36" s="59"/>
      <c r="N36" s="59"/>
      <c r="O36" s="59"/>
      <c r="P36" s="59"/>
      <c r="Q36" s="59"/>
      <c r="R36" s="59"/>
      <c r="S36" s="101"/>
      <c r="T36" s="59"/>
      <c r="U36" s="103"/>
      <c r="V36" s="384"/>
      <c r="W36" s="101"/>
      <c r="X36" s="59"/>
      <c r="Y36" s="107"/>
      <c r="Z36" s="37" t="str">
        <f t="shared" si="22"/>
        <v/>
      </c>
      <c r="AA36" s="203" t="s">
        <v>62</v>
      </c>
      <c r="AB36" t="str">
        <f t="shared" si="23"/>
        <v>No Entrant</v>
      </c>
      <c r="AC36" s="27" t="str">
        <f t="shared" si="24"/>
        <v/>
      </c>
      <c r="AD36" s="207" t="str">
        <f t="shared" si="25"/>
        <v/>
      </c>
      <c r="AE36" s="207" t="str">
        <f t="shared" si="26"/>
        <v/>
      </c>
      <c r="AF36" s="27" t="str">
        <f t="shared" si="27"/>
        <v>Y6Share 0</v>
      </c>
      <c r="AG36" s="27" t="e">
        <f t="shared" si="28"/>
        <v>#VALUE!</v>
      </c>
      <c r="AH36" s="207" t="str">
        <f t="shared" si="29"/>
        <v/>
      </c>
      <c r="AI36" s="27" t="str">
        <f t="shared" si="30"/>
        <v>Y6Share 0</v>
      </c>
      <c r="AJ36" s="27" t="e">
        <f t="shared" si="31"/>
        <v>#VALUE!</v>
      </c>
      <c r="AK36" t="str">
        <f t="shared" si="32"/>
        <v/>
      </c>
      <c r="AL36" s="333" t="str">
        <f>IF(OR(H36="",H36="N",H36="Y"),"",IF(VLOOKUP(H36,LastYrList!A:D,2,FALSE)="Did Not Shoot",CONCATENATE("Comp No. ",H36," Did Not Shoot Last Year!!"),""))</f>
        <v/>
      </c>
      <c r="AN36" t="str">
        <f t="shared" si="33"/>
        <v/>
      </c>
      <c r="AO36" s="333" t="str">
        <f t="shared" si="34"/>
        <v/>
      </c>
      <c r="AP36" s="333" t="str">
        <f t="shared" si="35"/>
        <v/>
      </c>
      <c r="AQ36" s="333" t="str">
        <f t="shared" si="36"/>
        <v/>
      </c>
      <c r="AR36" t="str">
        <f t="shared" si="37"/>
        <v/>
      </c>
      <c r="AS36" t="str">
        <f t="shared" si="38"/>
        <v/>
      </c>
      <c r="AT36" t="str">
        <f t="shared" si="39"/>
        <v/>
      </c>
      <c r="AU36" t="str">
        <f t="shared" si="40"/>
        <v/>
      </c>
      <c r="AV36" t="str">
        <f t="shared" si="41"/>
        <v/>
      </c>
      <c r="AW36" t="str">
        <f t="shared" si="42"/>
        <v/>
      </c>
      <c r="AX36" t="str">
        <f t="shared" si="43"/>
        <v/>
      </c>
      <c r="AY36" t="str">
        <f t="shared" si="14"/>
        <v/>
      </c>
      <c r="AZ36" t="str">
        <f t="shared" si="44"/>
        <v/>
      </c>
      <c r="BA36" t="str">
        <f t="shared" si="45"/>
        <v/>
      </c>
      <c r="BB36" t="str">
        <f t="shared" si="46"/>
        <v/>
      </c>
      <c r="BC36" t="str">
        <f t="shared" si="47"/>
        <v/>
      </c>
      <c r="BD36" s="338" t="str">
        <f t="shared" si="48"/>
        <v/>
      </c>
      <c r="BE36" s="338">
        <f t="shared" si="49"/>
        <v>0</v>
      </c>
      <c r="BF36" s="337" t="str">
        <f t="shared" si="50"/>
        <v/>
      </c>
      <c r="BG36" s="337" t="str">
        <f t="shared" si="51"/>
        <v/>
      </c>
      <c r="BH36" s="184" t="str">
        <f t="shared" si="21"/>
        <v/>
      </c>
      <c r="BN36"/>
      <c r="BO36"/>
    </row>
    <row r="37" spans="1:67" ht="13.5" x14ac:dyDescent="0.25">
      <c r="A37" s="254">
        <v>37</v>
      </c>
      <c r="B37" s="60"/>
      <c r="C37" s="61"/>
      <c r="D37" s="62"/>
      <c r="E37" s="101"/>
      <c r="F37" s="101"/>
      <c r="G37" s="63"/>
      <c r="H37" s="103"/>
      <c r="I37" s="103"/>
      <c r="J37" s="59"/>
      <c r="K37" s="59"/>
      <c r="L37" s="59"/>
      <c r="M37" s="59"/>
      <c r="N37" s="59"/>
      <c r="O37" s="59"/>
      <c r="P37" s="59"/>
      <c r="Q37" s="59"/>
      <c r="R37" s="59"/>
      <c r="S37" s="101"/>
      <c r="T37" s="59"/>
      <c r="U37" s="103"/>
      <c r="V37" s="384"/>
      <c r="W37" s="101"/>
      <c r="X37" s="59"/>
      <c r="Y37" s="107"/>
      <c r="Z37" s="37" t="str">
        <f t="shared" si="22"/>
        <v/>
      </c>
      <c r="AA37" s="203" t="s">
        <v>61</v>
      </c>
      <c r="AB37" t="str">
        <f t="shared" si="23"/>
        <v>No Entrant</v>
      </c>
      <c r="AC37" s="27" t="str">
        <f t="shared" si="24"/>
        <v/>
      </c>
      <c r="AD37" s="207" t="str">
        <f t="shared" si="25"/>
        <v/>
      </c>
      <c r="AE37" s="207" t="str">
        <f t="shared" si="26"/>
        <v/>
      </c>
      <c r="AF37" s="27" t="str">
        <f t="shared" si="27"/>
        <v>Y7Share 0</v>
      </c>
      <c r="AG37" s="27" t="e">
        <f t="shared" si="28"/>
        <v>#VALUE!</v>
      </c>
      <c r="AH37" s="207" t="str">
        <f t="shared" si="29"/>
        <v/>
      </c>
      <c r="AI37" s="27" t="str">
        <f t="shared" si="30"/>
        <v>Y7Share 0</v>
      </c>
      <c r="AJ37" s="27" t="e">
        <f t="shared" si="31"/>
        <v>#VALUE!</v>
      </c>
      <c r="AK37" t="str">
        <f t="shared" si="32"/>
        <v/>
      </c>
      <c r="AL37" s="333" t="str">
        <f>IF(OR(H37="",H37="N",H37="Y"),"",IF(VLOOKUP(H37,LastYrList!A:D,2,FALSE)="Did Not Shoot",CONCATENATE("Comp No. ",H37," Did Not Shoot Last Year!!"),""))</f>
        <v/>
      </c>
      <c r="AN37" t="str">
        <f t="shared" si="33"/>
        <v/>
      </c>
      <c r="AO37" s="333" t="str">
        <f t="shared" si="34"/>
        <v/>
      </c>
      <c r="AP37" s="333" t="str">
        <f t="shared" si="35"/>
        <v/>
      </c>
      <c r="AQ37" s="333" t="str">
        <f t="shared" si="36"/>
        <v/>
      </c>
      <c r="AR37" t="str">
        <f t="shared" si="37"/>
        <v/>
      </c>
      <c r="AS37" t="str">
        <f t="shared" si="38"/>
        <v/>
      </c>
      <c r="AT37" t="str">
        <f t="shared" si="39"/>
        <v/>
      </c>
      <c r="AU37" t="str">
        <f t="shared" si="40"/>
        <v/>
      </c>
      <c r="AV37" t="str">
        <f t="shared" si="41"/>
        <v/>
      </c>
      <c r="AW37" t="str">
        <f t="shared" si="42"/>
        <v/>
      </c>
      <c r="AX37" t="str">
        <f t="shared" si="43"/>
        <v/>
      </c>
      <c r="AY37" t="str">
        <f t="shared" si="14"/>
        <v/>
      </c>
      <c r="AZ37" t="str">
        <f t="shared" si="44"/>
        <v/>
      </c>
      <c r="BA37" t="str">
        <f t="shared" si="45"/>
        <v/>
      </c>
      <c r="BB37" t="str">
        <f t="shared" si="46"/>
        <v/>
      </c>
      <c r="BC37" t="str">
        <f t="shared" si="47"/>
        <v/>
      </c>
      <c r="BD37" s="338" t="str">
        <f t="shared" si="48"/>
        <v/>
      </c>
      <c r="BE37" s="338">
        <f t="shared" si="49"/>
        <v>0</v>
      </c>
      <c r="BF37" s="337" t="str">
        <f t="shared" si="50"/>
        <v/>
      </c>
      <c r="BG37" s="337" t="str">
        <f t="shared" si="51"/>
        <v/>
      </c>
      <c r="BH37" s="184" t="str">
        <f t="shared" si="21"/>
        <v/>
      </c>
      <c r="BN37"/>
      <c r="BO37"/>
    </row>
    <row r="38" spans="1:67" ht="13.5" x14ac:dyDescent="0.25">
      <c r="A38" s="254">
        <v>38</v>
      </c>
      <c r="B38" s="60"/>
      <c r="C38" s="61"/>
      <c r="D38" s="62"/>
      <c r="E38" s="101"/>
      <c r="F38" s="101"/>
      <c r="G38" s="63"/>
      <c r="H38" s="103"/>
      <c r="I38" s="103"/>
      <c r="J38" s="59"/>
      <c r="K38" s="59"/>
      <c r="L38" s="59"/>
      <c r="M38" s="59"/>
      <c r="N38" s="59"/>
      <c r="O38" s="59"/>
      <c r="P38" s="59"/>
      <c r="Q38" s="59"/>
      <c r="R38" s="59"/>
      <c r="S38" s="101"/>
      <c r="T38" s="59"/>
      <c r="U38" s="103"/>
      <c r="V38" s="384"/>
      <c r="W38" s="101"/>
      <c r="X38" s="59"/>
      <c r="Y38" s="107"/>
      <c r="Z38" s="37" t="str">
        <f t="shared" si="22"/>
        <v/>
      </c>
      <c r="AA38" s="203" t="s">
        <v>60</v>
      </c>
      <c r="AB38" t="str">
        <f t="shared" si="23"/>
        <v>No Entrant</v>
      </c>
      <c r="AC38" s="27" t="str">
        <f t="shared" si="24"/>
        <v/>
      </c>
      <c r="AD38" s="207" t="str">
        <f t="shared" si="25"/>
        <v/>
      </c>
      <c r="AE38" s="207" t="str">
        <f t="shared" si="26"/>
        <v/>
      </c>
      <c r="AF38" s="27" t="str">
        <f t="shared" si="27"/>
        <v>Y8Share 0</v>
      </c>
      <c r="AG38" s="27" t="e">
        <f t="shared" si="28"/>
        <v>#VALUE!</v>
      </c>
      <c r="AH38" s="207" t="str">
        <f t="shared" si="29"/>
        <v/>
      </c>
      <c r="AI38" s="27" t="str">
        <f t="shared" si="30"/>
        <v>Y8Share 0</v>
      </c>
      <c r="AJ38" s="27" t="e">
        <f t="shared" si="31"/>
        <v>#VALUE!</v>
      </c>
      <c r="AK38" t="str">
        <f t="shared" si="32"/>
        <v/>
      </c>
      <c r="AL38" s="333" t="str">
        <f>IF(OR(H38="",H38="N",H38="Y"),"",IF(VLOOKUP(H38,LastYrList!A:D,2,FALSE)="Did Not Shoot",CONCATENATE("Comp No. ",H38," Did Not Shoot Last Year!!"),""))</f>
        <v/>
      </c>
      <c r="AN38" t="str">
        <f t="shared" si="33"/>
        <v/>
      </c>
      <c r="AO38" s="333" t="str">
        <f t="shared" si="34"/>
        <v/>
      </c>
      <c r="AP38" s="333" t="str">
        <f t="shared" si="35"/>
        <v/>
      </c>
      <c r="AQ38" s="333" t="str">
        <f t="shared" si="36"/>
        <v/>
      </c>
      <c r="AR38" t="str">
        <f t="shared" si="37"/>
        <v/>
      </c>
      <c r="AS38" t="str">
        <f t="shared" si="38"/>
        <v/>
      </c>
      <c r="AT38" t="str">
        <f t="shared" si="39"/>
        <v/>
      </c>
      <c r="AU38" t="str">
        <f t="shared" si="40"/>
        <v/>
      </c>
      <c r="AV38" t="str">
        <f t="shared" si="41"/>
        <v/>
      </c>
      <c r="AW38" t="str">
        <f t="shared" si="42"/>
        <v/>
      </c>
      <c r="AX38" t="str">
        <f t="shared" si="43"/>
        <v/>
      </c>
      <c r="AY38" t="str">
        <f t="shared" si="14"/>
        <v/>
      </c>
      <c r="AZ38" t="str">
        <f t="shared" si="44"/>
        <v/>
      </c>
      <c r="BA38" t="str">
        <f t="shared" si="45"/>
        <v/>
      </c>
      <c r="BB38" t="str">
        <f t="shared" si="46"/>
        <v/>
      </c>
      <c r="BC38" t="str">
        <f t="shared" si="47"/>
        <v/>
      </c>
      <c r="BD38" s="338" t="str">
        <f t="shared" si="48"/>
        <v/>
      </c>
      <c r="BE38" s="338">
        <f t="shared" si="49"/>
        <v>0</v>
      </c>
      <c r="BF38" s="337" t="str">
        <f t="shared" si="50"/>
        <v/>
      </c>
      <c r="BG38" s="337" t="str">
        <f t="shared" si="51"/>
        <v/>
      </c>
      <c r="BH38" s="184" t="str">
        <f t="shared" si="21"/>
        <v/>
      </c>
      <c r="BN38"/>
      <c r="BO38"/>
    </row>
    <row r="39" spans="1:67" ht="13.5" x14ac:dyDescent="0.25">
      <c r="A39" s="254">
        <v>39</v>
      </c>
      <c r="B39" s="60"/>
      <c r="C39" s="61"/>
      <c r="D39" s="62"/>
      <c r="E39" s="101"/>
      <c r="F39" s="101"/>
      <c r="G39" s="63"/>
      <c r="H39" s="103"/>
      <c r="I39" s="103"/>
      <c r="J39" s="59"/>
      <c r="K39" s="59"/>
      <c r="L39" s="59"/>
      <c r="M39" s="59"/>
      <c r="N39" s="59"/>
      <c r="O39" s="59"/>
      <c r="P39" s="59"/>
      <c r="Q39" s="59"/>
      <c r="R39" s="59"/>
      <c r="S39" s="101"/>
      <c r="T39" s="59"/>
      <c r="U39" s="103"/>
      <c r="V39" s="384"/>
      <c r="W39" s="101"/>
      <c r="X39" s="59"/>
      <c r="Y39" s="107"/>
      <c r="Z39" s="37" t="str">
        <f t="shared" si="22"/>
        <v/>
      </c>
      <c r="AA39" s="203" t="s">
        <v>59</v>
      </c>
      <c r="AB39" t="str">
        <f t="shared" si="23"/>
        <v>No Entrant</v>
      </c>
      <c r="AC39" s="27" t="str">
        <f t="shared" si="24"/>
        <v/>
      </c>
      <c r="AD39" s="207" t="str">
        <f t="shared" si="25"/>
        <v/>
      </c>
      <c r="AE39" s="207" t="str">
        <f t="shared" si="26"/>
        <v/>
      </c>
      <c r="AF39" s="27" t="str">
        <f t="shared" si="27"/>
        <v>Y9Share 0</v>
      </c>
      <c r="AG39" s="27" t="e">
        <f t="shared" si="28"/>
        <v>#VALUE!</v>
      </c>
      <c r="AH39" s="207" t="str">
        <f t="shared" si="29"/>
        <v/>
      </c>
      <c r="AI39" s="27" t="str">
        <f t="shared" si="30"/>
        <v>Y9Share 0</v>
      </c>
      <c r="AJ39" s="27" t="e">
        <f t="shared" si="31"/>
        <v>#VALUE!</v>
      </c>
      <c r="AK39" t="str">
        <f t="shared" si="32"/>
        <v/>
      </c>
      <c r="AL39" s="333" t="str">
        <f>IF(OR(H39="",H39="N",H39="Y"),"",IF(VLOOKUP(H39,LastYrList!A:D,2,FALSE)="Did Not Shoot",CONCATENATE("Comp No. ",H39," Did Not Shoot Last Year!!"),""))</f>
        <v/>
      </c>
      <c r="AN39" t="str">
        <f t="shared" si="33"/>
        <v/>
      </c>
      <c r="AO39" s="333" t="str">
        <f t="shared" si="34"/>
        <v/>
      </c>
      <c r="AP39" s="333" t="str">
        <f t="shared" si="35"/>
        <v/>
      </c>
      <c r="AQ39" s="333" t="str">
        <f t="shared" si="36"/>
        <v/>
      </c>
      <c r="AR39" t="str">
        <f t="shared" si="37"/>
        <v/>
      </c>
      <c r="AS39" t="str">
        <f t="shared" si="38"/>
        <v/>
      </c>
      <c r="AT39" t="str">
        <f t="shared" si="39"/>
        <v/>
      </c>
      <c r="AU39" t="str">
        <f t="shared" si="40"/>
        <v/>
      </c>
      <c r="AV39" t="str">
        <f t="shared" si="41"/>
        <v/>
      </c>
      <c r="AW39" t="str">
        <f t="shared" si="42"/>
        <v/>
      </c>
      <c r="AX39" t="str">
        <f t="shared" si="43"/>
        <v/>
      </c>
      <c r="AY39" t="str">
        <f t="shared" si="14"/>
        <v/>
      </c>
      <c r="AZ39" t="str">
        <f t="shared" si="44"/>
        <v/>
      </c>
      <c r="BA39" t="str">
        <f t="shared" si="45"/>
        <v/>
      </c>
      <c r="BB39" t="str">
        <f t="shared" si="46"/>
        <v/>
      </c>
      <c r="BC39" t="str">
        <f t="shared" si="47"/>
        <v/>
      </c>
      <c r="BD39" s="338" t="str">
        <f t="shared" si="48"/>
        <v/>
      </c>
      <c r="BE39" s="338">
        <f t="shared" si="49"/>
        <v>0</v>
      </c>
      <c r="BF39" s="337" t="str">
        <f t="shared" si="50"/>
        <v/>
      </c>
      <c r="BG39" s="337" t="str">
        <f t="shared" si="51"/>
        <v/>
      </c>
      <c r="BH39" s="184" t="str">
        <f t="shared" si="21"/>
        <v/>
      </c>
      <c r="BN39"/>
      <c r="BO39"/>
    </row>
    <row r="40" spans="1:67" ht="13.5" x14ac:dyDescent="0.25">
      <c r="A40" s="254">
        <v>40</v>
      </c>
      <c r="B40" s="60"/>
      <c r="C40" s="61"/>
      <c r="D40" s="62"/>
      <c r="E40" s="101"/>
      <c r="F40" s="101"/>
      <c r="G40" s="63"/>
      <c r="H40" s="103"/>
      <c r="I40" s="103"/>
      <c r="J40" s="59"/>
      <c r="K40" s="59"/>
      <c r="L40" s="59"/>
      <c r="M40" s="59"/>
      <c r="N40" s="59"/>
      <c r="O40" s="59"/>
      <c r="P40" s="59"/>
      <c r="Q40" s="59"/>
      <c r="R40" s="59"/>
      <c r="S40" s="101"/>
      <c r="T40" s="59"/>
      <c r="U40" s="103"/>
      <c r="V40" s="384"/>
      <c r="W40" s="101"/>
      <c r="X40" s="59"/>
      <c r="Y40" s="107"/>
      <c r="Z40" s="37" t="str">
        <f t="shared" si="22"/>
        <v/>
      </c>
      <c r="AA40" s="203" t="s">
        <v>58</v>
      </c>
      <c r="AB40" t="str">
        <f t="shared" si="23"/>
        <v>No Entrant</v>
      </c>
      <c r="AC40" s="27" t="str">
        <f t="shared" si="24"/>
        <v/>
      </c>
      <c r="AD40" s="207" t="str">
        <f t="shared" si="25"/>
        <v/>
      </c>
      <c r="AE40" s="207" t="str">
        <f t="shared" si="26"/>
        <v/>
      </c>
      <c r="AF40" s="27" t="str">
        <f t="shared" si="27"/>
        <v>Y10Share 0</v>
      </c>
      <c r="AG40" s="27" t="e">
        <f t="shared" si="28"/>
        <v>#VALUE!</v>
      </c>
      <c r="AH40" s="207" t="str">
        <f t="shared" si="29"/>
        <v/>
      </c>
      <c r="AI40" s="27" t="str">
        <f t="shared" si="30"/>
        <v>Y10Share 0</v>
      </c>
      <c r="AJ40" s="27" t="e">
        <f t="shared" si="31"/>
        <v>#VALUE!</v>
      </c>
      <c r="AK40" t="str">
        <f t="shared" si="32"/>
        <v/>
      </c>
      <c r="AL40" s="333" t="str">
        <f>IF(OR(H40="",H40="N",H40="Y"),"",IF(VLOOKUP(H40,LastYrList!A:D,2,FALSE)="Did Not Shoot",CONCATENATE("Comp No. ",H40," Did Not Shoot Last Year!!"),""))</f>
        <v/>
      </c>
      <c r="AN40" t="str">
        <f t="shared" si="33"/>
        <v/>
      </c>
      <c r="AO40" s="333" t="str">
        <f t="shared" si="34"/>
        <v/>
      </c>
      <c r="AP40" s="333" t="str">
        <f t="shared" si="35"/>
        <v/>
      </c>
      <c r="AQ40" s="333" t="str">
        <f t="shared" si="36"/>
        <v/>
      </c>
      <c r="AR40" t="str">
        <f t="shared" si="37"/>
        <v/>
      </c>
      <c r="AS40" t="str">
        <f t="shared" si="38"/>
        <v/>
      </c>
      <c r="AT40" t="str">
        <f t="shared" si="39"/>
        <v/>
      </c>
      <c r="AU40" t="str">
        <f t="shared" si="40"/>
        <v/>
      </c>
      <c r="AV40" t="str">
        <f t="shared" si="41"/>
        <v/>
      </c>
      <c r="AW40" t="str">
        <f t="shared" si="42"/>
        <v/>
      </c>
      <c r="AX40" t="str">
        <f t="shared" si="43"/>
        <v/>
      </c>
      <c r="AY40" t="str">
        <f t="shared" si="14"/>
        <v/>
      </c>
      <c r="AZ40" t="str">
        <f t="shared" si="44"/>
        <v/>
      </c>
      <c r="BA40" t="str">
        <f t="shared" si="45"/>
        <v/>
      </c>
      <c r="BB40" t="str">
        <f t="shared" si="46"/>
        <v/>
      </c>
      <c r="BC40" t="str">
        <f t="shared" si="47"/>
        <v/>
      </c>
      <c r="BD40" s="338" t="str">
        <f t="shared" si="48"/>
        <v/>
      </c>
      <c r="BE40" s="338">
        <f t="shared" si="49"/>
        <v>0</v>
      </c>
      <c r="BF40" s="337" t="str">
        <f t="shared" si="50"/>
        <v/>
      </c>
      <c r="BG40" s="337" t="str">
        <f t="shared" si="51"/>
        <v/>
      </c>
      <c r="BH40" s="184" t="str">
        <f t="shared" si="21"/>
        <v/>
      </c>
      <c r="BN40"/>
      <c r="BO40"/>
    </row>
    <row r="41" spans="1:67" ht="13.5" x14ac:dyDescent="0.25">
      <c r="A41" s="254">
        <v>41</v>
      </c>
      <c r="B41" s="60"/>
      <c r="C41" s="61"/>
      <c r="D41" s="62"/>
      <c r="E41" s="101"/>
      <c r="F41" s="101"/>
      <c r="G41" s="63"/>
      <c r="H41" s="103"/>
      <c r="I41" s="103"/>
      <c r="J41" s="59"/>
      <c r="K41" s="59"/>
      <c r="L41" s="59"/>
      <c r="M41" s="59"/>
      <c r="N41" s="59"/>
      <c r="O41" s="59"/>
      <c r="P41" s="59"/>
      <c r="Q41" s="59"/>
      <c r="R41" s="59"/>
      <c r="S41" s="101"/>
      <c r="T41" s="59"/>
      <c r="U41" s="103"/>
      <c r="V41" s="384"/>
      <c r="W41" s="101"/>
      <c r="X41" s="59"/>
      <c r="Y41" s="107"/>
      <c r="Z41" s="37" t="str">
        <f t="shared" si="22"/>
        <v/>
      </c>
      <c r="AA41" s="203" t="s">
        <v>57</v>
      </c>
      <c r="AB41" t="str">
        <f t="shared" si="23"/>
        <v>No Entrant</v>
      </c>
      <c r="AC41" s="27" t="str">
        <f t="shared" si="24"/>
        <v/>
      </c>
      <c r="AD41" s="207" t="str">
        <f t="shared" si="25"/>
        <v/>
      </c>
      <c r="AE41" s="207" t="str">
        <f t="shared" si="26"/>
        <v/>
      </c>
      <c r="AF41" s="27" t="str">
        <f t="shared" si="27"/>
        <v>Y11Share 0</v>
      </c>
      <c r="AG41" s="27" t="e">
        <f t="shared" si="28"/>
        <v>#VALUE!</v>
      </c>
      <c r="AH41" s="207" t="str">
        <f t="shared" si="29"/>
        <v/>
      </c>
      <c r="AI41" s="27" t="str">
        <f t="shared" si="30"/>
        <v>Y11Share 0</v>
      </c>
      <c r="AJ41" s="27" t="e">
        <f t="shared" si="31"/>
        <v>#VALUE!</v>
      </c>
      <c r="AK41" t="str">
        <f t="shared" si="32"/>
        <v/>
      </c>
      <c r="AL41" s="333" t="str">
        <f>IF(OR(H41="",H41="N",H41="Y"),"",IF(VLOOKUP(H41,LastYrList!A:D,2,FALSE)="Did Not Shoot",CONCATENATE("Comp No. ",H41," Did Not Shoot Last Year!!"),""))</f>
        <v/>
      </c>
      <c r="AN41" t="str">
        <f t="shared" si="33"/>
        <v/>
      </c>
      <c r="AO41" s="333" t="str">
        <f t="shared" si="34"/>
        <v/>
      </c>
      <c r="AP41" s="333" t="str">
        <f t="shared" si="35"/>
        <v/>
      </c>
      <c r="AQ41" s="333" t="str">
        <f t="shared" si="36"/>
        <v/>
      </c>
      <c r="AR41" t="str">
        <f t="shared" si="37"/>
        <v/>
      </c>
      <c r="AS41" t="str">
        <f t="shared" si="38"/>
        <v/>
      </c>
      <c r="AT41" t="str">
        <f t="shared" si="39"/>
        <v/>
      </c>
      <c r="AU41" t="str">
        <f t="shared" si="40"/>
        <v/>
      </c>
      <c r="AV41" t="str">
        <f t="shared" si="41"/>
        <v/>
      </c>
      <c r="AW41" t="str">
        <f t="shared" si="42"/>
        <v/>
      </c>
      <c r="AX41" t="str">
        <f t="shared" si="43"/>
        <v/>
      </c>
      <c r="AY41" t="str">
        <f t="shared" si="14"/>
        <v/>
      </c>
      <c r="AZ41" t="str">
        <f t="shared" si="44"/>
        <v/>
      </c>
      <c r="BA41" t="str">
        <f t="shared" si="45"/>
        <v/>
      </c>
      <c r="BB41" t="str">
        <f t="shared" si="46"/>
        <v/>
      </c>
      <c r="BC41" t="str">
        <f t="shared" si="47"/>
        <v/>
      </c>
      <c r="BD41" s="338" t="str">
        <f t="shared" si="48"/>
        <v/>
      </c>
      <c r="BE41" s="338">
        <f t="shared" si="49"/>
        <v>0</v>
      </c>
      <c r="BF41" s="337" t="str">
        <f t="shared" si="50"/>
        <v/>
      </c>
      <c r="BG41" s="337" t="str">
        <f t="shared" si="51"/>
        <v/>
      </c>
      <c r="BH41" s="184" t="str">
        <f t="shared" si="21"/>
        <v/>
      </c>
      <c r="BN41"/>
      <c r="BO41"/>
    </row>
    <row r="42" spans="1:67" ht="13.5" x14ac:dyDescent="0.25">
      <c r="A42" s="254">
        <v>42</v>
      </c>
      <c r="B42" s="60"/>
      <c r="C42" s="61"/>
      <c r="D42" s="62"/>
      <c r="E42" s="101"/>
      <c r="F42" s="101"/>
      <c r="G42" s="63"/>
      <c r="H42" s="103"/>
      <c r="I42" s="103"/>
      <c r="J42" s="59"/>
      <c r="K42" s="59"/>
      <c r="L42" s="59"/>
      <c r="M42" s="59"/>
      <c r="N42" s="59"/>
      <c r="O42" s="59"/>
      <c r="P42" s="59"/>
      <c r="Q42" s="59"/>
      <c r="R42" s="59"/>
      <c r="S42" s="101"/>
      <c r="T42" s="59"/>
      <c r="U42" s="103"/>
      <c r="V42" s="384"/>
      <c r="W42" s="101"/>
      <c r="X42" s="59"/>
      <c r="Y42" s="107"/>
      <c r="Z42" s="37" t="str">
        <f t="shared" si="22"/>
        <v/>
      </c>
      <c r="AA42" s="203" t="s">
        <v>56</v>
      </c>
      <c r="AB42" t="str">
        <f t="shared" si="23"/>
        <v>No Entrant</v>
      </c>
      <c r="AC42" s="27" t="str">
        <f t="shared" si="24"/>
        <v/>
      </c>
      <c r="AD42" s="207" t="str">
        <f t="shared" si="25"/>
        <v/>
      </c>
      <c r="AE42" s="207" t="str">
        <f t="shared" si="26"/>
        <v/>
      </c>
      <c r="AF42" s="27" t="str">
        <f t="shared" si="27"/>
        <v>Y12Share 0</v>
      </c>
      <c r="AG42" s="27" t="e">
        <f t="shared" si="28"/>
        <v>#VALUE!</v>
      </c>
      <c r="AH42" s="207" t="str">
        <f t="shared" si="29"/>
        <v/>
      </c>
      <c r="AI42" s="27" t="str">
        <f t="shared" si="30"/>
        <v>Y12Share 0</v>
      </c>
      <c r="AJ42" s="27" t="e">
        <f t="shared" si="31"/>
        <v>#VALUE!</v>
      </c>
      <c r="AK42" t="str">
        <f t="shared" si="32"/>
        <v/>
      </c>
      <c r="AL42" s="333" t="str">
        <f>IF(OR(H42="",H42="N",H42="Y"),"",IF(VLOOKUP(H42,LastYrList!A:D,2,FALSE)="Did Not Shoot",CONCATENATE("Comp No. ",H42," Did Not Shoot Last Year!!"),""))</f>
        <v/>
      </c>
      <c r="AN42" t="str">
        <f t="shared" si="33"/>
        <v/>
      </c>
      <c r="AO42" s="333" t="str">
        <f t="shared" si="34"/>
        <v/>
      </c>
      <c r="AP42" s="333" t="str">
        <f t="shared" si="35"/>
        <v/>
      </c>
      <c r="AQ42" s="333" t="str">
        <f t="shared" si="36"/>
        <v/>
      </c>
      <c r="AR42" t="str">
        <f t="shared" si="37"/>
        <v/>
      </c>
      <c r="AS42" t="str">
        <f t="shared" si="38"/>
        <v/>
      </c>
      <c r="AT42" t="str">
        <f t="shared" si="39"/>
        <v/>
      </c>
      <c r="AU42" t="str">
        <f t="shared" si="40"/>
        <v/>
      </c>
      <c r="AV42" t="str">
        <f t="shared" si="41"/>
        <v/>
      </c>
      <c r="AW42" t="str">
        <f t="shared" si="42"/>
        <v/>
      </c>
      <c r="AX42" t="str">
        <f t="shared" si="43"/>
        <v/>
      </c>
      <c r="AY42" t="str">
        <f t="shared" si="14"/>
        <v/>
      </c>
      <c r="AZ42" t="str">
        <f t="shared" si="44"/>
        <v/>
      </c>
      <c r="BA42" t="str">
        <f t="shared" si="45"/>
        <v/>
      </c>
      <c r="BB42" t="str">
        <f t="shared" si="46"/>
        <v/>
      </c>
      <c r="BC42" t="str">
        <f t="shared" si="47"/>
        <v/>
      </c>
      <c r="BD42" s="338" t="str">
        <f t="shared" si="48"/>
        <v/>
      </c>
      <c r="BE42" s="338">
        <f t="shared" si="49"/>
        <v>0</v>
      </c>
      <c r="BF42" s="337" t="str">
        <f t="shared" si="50"/>
        <v/>
      </c>
      <c r="BG42" s="337" t="str">
        <f t="shared" si="51"/>
        <v/>
      </c>
      <c r="BH42" s="184" t="str">
        <f t="shared" si="21"/>
        <v/>
      </c>
      <c r="BN42"/>
      <c r="BO42"/>
    </row>
    <row r="43" spans="1:67" ht="14.25" thickBot="1" x14ac:dyDescent="0.3">
      <c r="A43" s="254">
        <v>43</v>
      </c>
      <c r="B43" s="64"/>
      <c r="C43" s="65"/>
      <c r="D43" s="66"/>
      <c r="E43" s="102"/>
      <c r="F43" s="102"/>
      <c r="G43" s="68"/>
      <c r="H43" s="104"/>
      <c r="I43" s="104"/>
      <c r="J43" s="67"/>
      <c r="K43" s="67"/>
      <c r="L43" s="67"/>
      <c r="M43" s="67"/>
      <c r="N43" s="67"/>
      <c r="O43" s="67"/>
      <c r="P43" s="67"/>
      <c r="Q43" s="67"/>
      <c r="R43" s="67"/>
      <c r="S43" s="102"/>
      <c r="T43" s="67"/>
      <c r="U43" s="104"/>
      <c r="V43" s="385"/>
      <c r="W43" s="102"/>
      <c r="X43" s="67"/>
      <c r="Y43" s="108"/>
      <c r="Z43" s="37" t="str">
        <f t="shared" si="22"/>
        <v/>
      </c>
      <c r="AA43" s="203" t="s">
        <v>44</v>
      </c>
      <c r="AB43" t="str">
        <f t="shared" si="23"/>
        <v>No Entrant</v>
      </c>
      <c r="AC43" s="27" t="str">
        <f t="shared" si="24"/>
        <v/>
      </c>
      <c r="AD43" s="207" t="str">
        <f t="shared" si="25"/>
        <v/>
      </c>
      <c r="AE43" s="207" t="str">
        <f t="shared" si="26"/>
        <v/>
      </c>
      <c r="AF43" s="27" t="str">
        <f t="shared" si="27"/>
        <v>Y13Share 0</v>
      </c>
      <c r="AG43" s="27" t="e">
        <f t="shared" si="28"/>
        <v>#VALUE!</v>
      </c>
      <c r="AH43" s="207" t="str">
        <f t="shared" si="29"/>
        <v/>
      </c>
      <c r="AI43" s="27" t="str">
        <f t="shared" si="30"/>
        <v>Y13Share 0</v>
      </c>
      <c r="AJ43" s="27" t="e">
        <f t="shared" si="31"/>
        <v>#VALUE!</v>
      </c>
      <c r="AK43" t="str">
        <f t="shared" si="32"/>
        <v/>
      </c>
      <c r="AL43" s="333" t="str">
        <f>IF(OR(H43="",H43="N",H43="Y"),"",IF(VLOOKUP(H43,LastYrList!A:D,2,FALSE)="Did Not Shoot",CONCATENATE("Comp No. ",H43," Did Not Shoot Last Year!!"),""))</f>
        <v/>
      </c>
      <c r="AN43" t="str">
        <f t="shared" si="33"/>
        <v/>
      </c>
      <c r="AO43" s="333" t="str">
        <f t="shared" si="34"/>
        <v/>
      </c>
      <c r="AP43" s="333" t="str">
        <f t="shared" si="35"/>
        <v/>
      </c>
      <c r="AQ43" s="333" t="str">
        <f t="shared" si="36"/>
        <v/>
      </c>
      <c r="AR43" t="str">
        <f t="shared" si="37"/>
        <v/>
      </c>
      <c r="AS43" t="str">
        <f t="shared" si="38"/>
        <v/>
      </c>
      <c r="AT43" t="str">
        <f t="shared" si="39"/>
        <v/>
      </c>
      <c r="AU43" t="str">
        <f t="shared" si="40"/>
        <v/>
      </c>
      <c r="AV43" t="str">
        <f t="shared" si="41"/>
        <v/>
      </c>
      <c r="AW43" t="str">
        <f t="shared" si="42"/>
        <v/>
      </c>
      <c r="AX43" t="str">
        <f t="shared" si="43"/>
        <v/>
      </c>
      <c r="AY43" t="str">
        <f t="shared" si="14"/>
        <v/>
      </c>
      <c r="AZ43" t="str">
        <f t="shared" si="44"/>
        <v/>
      </c>
      <c r="BA43" t="str">
        <f t="shared" si="45"/>
        <v/>
      </c>
      <c r="BB43" t="str">
        <f t="shared" si="46"/>
        <v/>
      </c>
      <c r="BC43" t="str">
        <f t="shared" si="47"/>
        <v/>
      </c>
      <c r="BD43" s="338" t="str">
        <f t="shared" si="48"/>
        <v/>
      </c>
      <c r="BE43" s="338">
        <f t="shared" si="49"/>
        <v>0</v>
      </c>
      <c r="BF43" s="337" t="str">
        <f t="shared" si="50"/>
        <v/>
      </c>
      <c r="BG43" s="337" t="str">
        <f t="shared" si="51"/>
        <v/>
      </c>
      <c r="BH43" s="184" t="str">
        <f t="shared" si="21"/>
        <v/>
      </c>
      <c r="BN43"/>
      <c r="BO43"/>
    </row>
    <row r="44" spans="1:67" ht="13.5" x14ac:dyDescent="0.25">
      <c r="A44" s="254"/>
      <c r="B44" s="169" t="s">
        <v>246</v>
      </c>
      <c r="C44" s="83"/>
      <c r="D44" s="84"/>
      <c r="E44" s="85"/>
      <c r="F44" s="85"/>
      <c r="G44" s="86"/>
      <c r="H44" s="85"/>
      <c r="I44" s="85"/>
      <c r="J44" s="117">
        <f>10-COUNTBLANK(K47:K56)</f>
        <v>0</v>
      </c>
      <c r="K44" s="85"/>
      <c r="L44" s="85"/>
      <c r="M44" s="85"/>
      <c r="N44" s="85"/>
      <c r="O44" s="85"/>
      <c r="P44" s="85"/>
      <c r="Q44" s="85"/>
      <c r="R44" s="85"/>
      <c r="S44" s="85"/>
      <c r="T44" s="85"/>
      <c r="U44" s="85"/>
      <c r="V44" s="85"/>
      <c r="W44" s="85"/>
      <c r="X44" s="85"/>
      <c r="Y44" s="85"/>
      <c r="Z44" s="40" t="str">
        <f>CONCATENATE(K47,K48,K49,K50,K51,K52,K53,K54,K55,K56,AH45,AK45,AA80,M139,Q139,U186,G207,O162)</f>
        <v/>
      </c>
      <c r="AA44" s="203" t="s">
        <v>45</v>
      </c>
      <c r="AB44" s="33">
        <f>COUNTIF(AB17:AB43,"Entrant")</f>
        <v>0</v>
      </c>
      <c r="AC44" s="32">
        <f>27-COUNTIF(AC17:AC43,"")</f>
        <v>0</v>
      </c>
      <c r="AD44" s="32"/>
      <c r="AE44" s="32"/>
      <c r="AF44" s="32"/>
      <c r="AG44" s="32">
        <f>8-COUNTBLANK(AG17:AG24)</f>
        <v>0</v>
      </c>
      <c r="AH44" s="32"/>
      <c r="AI44" s="32"/>
      <c r="AJ44" s="32">
        <f>8-COUNTBLANK(AJ17:AJ24)</f>
        <v>0</v>
      </c>
      <c r="AK44" s="32">
        <f>27-COUNTIF(AK17:AK43,"")</f>
        <v>0</v>
      </c>
      <c r="AL44"/>
      <c r="AM44" s="32">
        <f>27-COUNTIF(AM17:AM43,"")</f>
        <v>0</v>
      </c>
      <c r="AN44" s="32">
        <f>27-COUNTIF(AN17:AN43,"")</f>
        <v>0</v>
      </c>
      <c r="AO44" s="32"/>
      <c r="AP44" s="32"/>
      <c r="AQ44" s="32"/>
      <c r="AR44" s="32"/>
      <c r="AS44" s="32">
        <f t="shared" ref="AS44:AY44" si="52">27-COUNTIF(AS17:AS43,"")</f>
        <v>0</v>
      </c>
      <c r="AT44" s="32">
        <f t="shared" si="52"/>
        <v>0</v>
      </c>
      <c r="AU44" s="32">
        <f t="shared" si="52"/>
        <v>0</v>
      </c>
      <c r="AV44" s="32">
        <f t="shared" si="52"/>
        <v>0</v>
      </c>
      <c r="AW44" s="32">
        <f t="shared" si="52"/>
        <v>0</v>
      </c>
      <c r="AX44" s="32">
        <f t="shared" si="52"/>
        <v>0</v>
      </c>
      <c r="AY44" s="32">
        <f t="shared" si="52"/>
        <v>0</v>
      </c>
      <c r="AZ44" s="32"/>
      <c r="BA44"/>
      <c r="BB44" s="32">
        <f>27-COUNTIF(BB17:BB43,"")</f>
        <v>0</v>
      </c>
      <c r="BD44" s="345"/>
      <c r="BE44" s="345"/>
      <c r="BF44" s="345">
        <f>27-COUNTIF(BF17:BF43,"")</f>
        <v>0</v>
      </c>
      <c r="BG44" s="345">
        <f>27-COUNTIF(BG17:BG43,"")</f>
        <v>0</v>
      </c>
      <c r="BH44" s="184"/>
      <c r="BN44"/>
      <c r="BO44"/>
    </row>
    <row r="45" spans="1:67" ht="19.5" customHeight="1" x14ac:dyDescent="0.2">
      <c r="A45" s="254"/>
      <c r="B45" s="295">
        <f>(10-COUNTBLANK(L47:L56))+S139+C229+P162+T162</f>
        <v>0</v>
      </c>
      <c r="C45" s="376" t="str">
        <f>CONCATENATE(L47,L48,L49,L50,L51,L52,L53,L54,L55,L56,T139,K229,R162,U162)</f>
        <v/>
      </c>
      <c r="D45" s="377"/>
      <c r="E45" s="377"/>
      <c r="F45" s="377"/>
      <c r="G45" s="377"/>
      <c r="H45" s="377"/>
      <c r="I45" s="377"/>
      <c r="J45" s="377"/>
      <c r="K45" s="377"/>
      <c r="L45" s="377"/>
      <c r="M45" s="377"/>
      <c r="N45" s="377"/>
      <c r="O45" s="377"/>
      <c r="P45" s="377"/>
      <c r="Q45" s="377"/>
      <c r="R45" s="377"/>
      <c r="S45" s="377"/>
      <c r="T45" s="377"/>
      <c r="U45" s="377"/>
      <c r="V45" s="377"/>
      <c r="W45" s="377"/>
      <c r="X45" s="377"/>
      <c r="Y45" s="377"/>
      <c r="Z45" s="42" t="str">
        <f>CONCATENATE("No. of Major Errors = ",BJ45)</f>
        <v>No. of Major Errors = 0</v>
      </c>
      <c r="AA45" s="203" t="s">
        <v>46</v>
      </c>
      <c r="AD45" s="27"/>
      <c r="AH45" t="str">
        <f>CONCATENATE(AG17,AG18,AG19,AG20,AG21,AG22,AG23,AG24)</f>
        <v/>
      </c>
      <c r="AJ45"/>
      <c r="AK45" t="str">
        <f>CONCATENATE(AJ17,AJ18,AJ19,AJ20,AJ21,AJ22,AJ23,AJ24)</f>
        <v/>
      </c>
      <c r="AL45"/>
      <c r="AM45" s="32">
        <f>27-COUNTIF(AL17:AL43,"")</f>
        <v>0</v>
      </c>
      <c r="AN45" s="32"/>
      <c r="AO45" s="1"/>
      <c r="AP45" s="32">
        <f>27-COUNTBLANK(AO17:AO43)</f>
        <v>0</v>
      </c>
      <c r="AQ45" s="32">
        <f>27-COUNTBLANK(AP17:AP43)</f>
        <v>0</v>
      </c>
      <c r="AR45" s="32">
        <f>27-COUNTIF(AQ17:AQ43,"")</f>
        <v>0</v>
      </c>
      <c r="AS45" s="32">
        <f>27-COUNTIF(AR17:AR43,"")</f>
        <v>0</v>
      </c>
      <c r="AY45"/>
      <c r="AZ45" s="32">
        <f>27-COUNTIF(AZ17:AZ43,"")</f>
        <v>0</v>
      </c>
      <c r="BA45" s="32">
        <f>27-COUNTIF(BA17:BA43,"")</f>
        <v>0</v>
      </c>
      <c r="BC45" s="32"/>
      <c r="BD45" s="32"/>
      <c r="BE45" s="1"/>
      <c r="BF45" s="1"/>
      <c r="BI45" s="202">
        <f>SUM(AD45:AS45)+B45+AZ45</f>
        <v>0</v>
      </c>
      <c r="BJ45" s="201">
        <f>SUM(AC44:BG44)+(1-COUNTBLANK(Z10))+J44+AB78+L139+P139+K185+E207+N162</f>
        <v>0</v>
      </c>
      <c r="BN45"/>
      <c r="BO45"/>
    </row>
    <row r="46" spans="1:67" ht="13.5" thickBot="1" x14ac:dyDescent="0.25">
      <c r="A46" s="254"/>
      <c r="B46" s="30"/>
      <c r="C46" s="31"/>
      <c r="D46" s="31"/>
      <c r="E46" s="31"/>
      <c r="F46" s="31"/>
      <c r="G46" s="31"/>
      <c r="H46" s="31"/>
      <c r="I46" s="31"/>
      <c r="J46" s="31"/>
      <c r="K46" s="31"/>
      <c r="L46" s="31"/>
      <c r="M46" s="31"/>
      <c r="N46" s="31"/>
      <c r="O46" s="31"/>
      <c r="P46" s="31"/>
      <c r="Q46" s="31"/>
      <c r="R46" s="31"/>
      <c r="S46" s="31"/>
      <c r="T46" s="31"/>
      <c r="U46" s="31"/>
      <c r="V46" s="31"/>
      <c r="W46" s="31"/>
      <c r="X46" s="31"/>
      <c r="Y46" s="31"/>
      <c r="Z46" s="43" t="str">
        <f>CONCATENATE("Number of Warnings = ",BI45)</f>
        <v>Number of Warnings = 0</v>
      </c>
      <c r="AA46" s="203" t="s">
        <v>47</v>
      </c>
      <c r="AD46" s="27"/>
      <c r="AH46"/>
      <c r="AJ46"/>
      <c r="AK46"/>
      <c r="AL46"/>
      <c r="AN46"/>
      <c r="AO46" s="1"/>
      <c r="AP46" s="1"/>
      <c r="AQ46" s="1"/>
      <c r="AR46" s="1"/>
      <c r="AY46"/>
      <c r="AZ46"/>
      <c r="BA46"/>
      <c r="BB46"/>
      <c r="BE46" s="1"/>
      <c r="BF46" s="1"/>
      <c r="BN46"/>
      <c r="BO46"/>
    </row>
    <row r="47" spans="1:67" hidden="1" x14ac:dyDescent="0.2">
      <c r="A47" s="254"/>
      <c r="H47" s="144" t="s">
        <v>40</v>
      </c>
      <c r="I47" s="144"/>
      <c r="J47" s="412">
        <f>COUNTIF(J$17:J$43,H47)</f>
        <v>0</v>
      </c>
      <c r="K47" s="149" t="str">
        <f>IF(J47&gt;3,CONCATENATE(H47," has too many Members."),"")</f>
        <v/>
      </c>
      <c r="L47" s="186" t="str">
        <f t="shared" ref="L47:L56" si="53">IF(AND(J47&gt;0,J47&lt;3),CONCATENATE(H47," has too few Members. "),"")</f>
        <v/>
      </c>
      <c r="N47" s="26"/>
      <c r="AA47" s="203" t="s">
        <v>48</v>
      </c>
      <c r="AD47" s="27"/>
      <c r="AH47"/>
      <c r="AJ47"/>
      <c r="AK47"/>
      <c r="AL47"/>
      <c r="AN47"/>
      <c r="AO47" s="1"/>
      <c r="AP47" s="1"/>
      <c r="AQ47" s="1"/>
      <c r="AR47" s="1"/>
      <c r="AY47"/>
      <c r="AZ47"/>
      <c r="BA47"/>
      <c r="BB47"/>
      <c r="BE47" s="1"/>
      <c r="BF47" s="1"/>
      <c r="BN47"/>
      <c r="BO47"/>
    </row>
    <row r="48" spans="1:67" hidden="1" x14ac:dyDescent="0.2">
      <c r="A48" s="255" t="s">
        <v>199</v>
      </c>
      <c r="H48" s="144" t="s">
        <v>41</v>
      </c>
      <c r="I48" s="144"/>
      <c r="J48" s="412">
        <f t="shared" ref="J48:J56" si="54">COUNTIF(J$17:J$43,H48)</f>
        <v>0</v>
      </c>
      <c r="K48" s="149" t="str">
        <f>IF(J48&gt;3,CONCATENATE(H48," has too many Members."),"")</f>
        <v/>
      </c>
      <c r="L48" s="186" t="str">
        <f t="shared" si="53"/>
        <v/>
      </c>
      <c r="AA48" s="203" t="s">
        <v>49</v>
      </c>
      <c r="AD48" s="27"/>
      <c r="AH48"/>
      <c r="AJ48"/>
      <c r="AK48"/>
      <c r="AL48"/>
      <c r="AN48"/>
      <c r="AO48" s="1"/>
      <c r="AP48" s="1"/>
      <c r="AQ48" s="1"/>
      <c r="AR48" s="1"/>
      <c r="AY48"/>
      <c r="AZ48"/>
      <c r="BA48"/>
      <c r="BB48"/>
      <c r="BE48" s="1"/>
      <c r="BF48" s="1"/>
      <c r="BN48"/>
      <c r="BO48"/>
    </row>
    <row r="49" spans="1:67" hidden="1" x14ac:dyDescent="0.2">
      <c r="D49" s="24"/>
      <c r="H49" s="144" t="s">
        <v>42</v>
      </c>
      <c r="I49" s="144"/>
      <c r="J49" s="412">
        <f t="shared" si="54"/>
        <v>0</v>
      </c>
      <c r="K49" s="149" t="str">
        <f>IF(J49&gt;3,CONCATENATE(H49," has too many Members."),"")</f>
        <v/>
      </c>
      <c r="L49" s="186" t="str">
        <f t="shared" si="53"/>
        <v/>
      </c>
      <c r="AA49" s="213" t="s">
        <v>23</v>
      </c>
      <c r="AD49" s="27"/>
      <c r="AH49"/>
      <c r="AJ49"/>
      <c r="AK49"/>
      <c r="AL49"/>
      <c r="AN49"/>
      <c r="AO49" s="1"/>
      <c r="AP49" s="1"/>
      <c r="AQ49" s="1"/>
      <c r="AR49" s="1"/>
      <c r="AY49"/>
      <c r="AZ49"/>
      <c r="BA49"/>
      <c r="BB49"/>
      <c r="BE49" s="1"/>
      <c r="BF49" s="1"/>
      <c r="BN49"/>
      <c r="BO49"/>
    </row>
    <row r="50" spans="1:67" hidden="1" x14ac:dyDescent="0.2">
      <c r="D50" s="24"/>
      <c r="H50" s="144" t="s">
        <v>43</v>
      </c>
      <c r="I50" s="144"/>
      <c r="J50" s="412">
        <f t="shared" si="54"/>
        <v>0</v>
      </c>
      <c r="K50" s="149" t="str">
        <f>IF(J50&gt;3,CONCATENATE(H50," has too many Members."),"")</f>
        <v/>
      </c>
      <c r="L50" s="186" t="str">
        <f t="shared" si="53"/>
        <v/>
      </c>
      <c r="AA50" s="213" t="s">
        <v>24</v>
      </c>
      <c r="AD50" s="27"/>
      <c r="AH50"/>
      <c r="AJ50"/>
      <c r="AK50"/>
      <c r="AL50"/>
      <c r="AN50"/>
      <c r="AO50" s="1"/>
      <c r="AP50" s="1"/>
      <c r="AQ50" s="1"/>
      <c r="AR50" s="1"/>
      <c r="AY50"/>
      <c r="AZ50"/>
      <c r="BA50"/>
      <c r="BB50"/>
      <c r="BE50" s="1"/>
      <c r="BF50" s="1"/>
      <c r="BN50"/>
      <c r="BO50"/>
    </row>
    <row r="51" spans="1:67" hidden="1" x14ac:dyDescent="0.2">
      <c r="D51" s="24"/>
      <c r="H51" s="144" t="s">
        <v>50</v>
      </c>
      <c r="I51" s="144"/>
      <c r="J51" s="412">
        <f t="shared" si="54"/>
        <v>0</v>
      </c>
      <c r="K51" s="149" t="str">
        <f t="shared" ref="K51:K56" si="55">IF(J51&gt;3,CONCATENATE(H51," has too many Members."),"")</f>
        <v/>
      </c>
      <c r="L51" s="186" t="str">
        <f t="shared" si="53"/>
        <v/>
      </c>
      <c r="AA51" s="213" t="s">
        <v>25</v>
      </c>
      <c r="AD51" s="27"/>
      <c r="AH51"/>
      <c r="AJ51"/>
      <c r="AK51"/>
      <c r="AL51"/>
      <c r="AN51"/>
      <c r="AO51" s="1"/>
      <c r="AP51" s="1"/>
      <c r="AQ51" s="1"/>
      <c r="AR51" s="1"/>
      <c r="AY51"/>
      <c r="AZ51"/>
      <c r="BA51"/>
      <c r="BB51"/>
      <c r="BE51" s="1"/>
      <c r="BF51" s="1"/>
      <c r="BN51"/>
      <c r="BO51"/>
    </row>
    <row r="52" spans="1:67" hidden="1" x14ac:dyDescent="0.2">
      <c r="D52" s="24"/>
      <c r="H52" s="144" t="s">
        <v>51</v>
      </c>
      <c r="I52" s="144"/>
      <c r="J52" s="412">
        <f t="shared" si="54"/>
        <v>0</v>
      </c>
      <c r="K52" s="149" t="str">
        <f t="shared" si="55"/>
        <v/>
      </c>
      <c r="L52" s="186" t="str">
        <f t="shared" si="53"/>
        <v/>
      </c>
      <c r="AA52" s="213" t="s">
        <v>29</v>
      </c>
      <c r="AD52" s="27"/>
      <c r="AH52"/>
      <c r="AJ52"/>
      <c r="AK52"/>
      <c r="AL52"/>
      <c r="AN52"/>
      <c r="AO52" s="1"/>
      <c r="AP52" s="1"/>
      <c r="AQ52" s="1"/>
      <c r="AR52" s="1"/>
      <c r="AY52"/>
      <c r="AZ52"/>
      <c r="BA52"/>
      <c r="BB52"/>
      <c r="BE52" s="1"/>
      <c r="BF52" s="1"/>
      <c r="BN52"/>
      <c r="BO52"/>
    </row>
    <row r="53" spans="1:67" hidden="1" x14ac:dyDescent="0.2">
      <c r="D53" s="24"/>
      <c r="H53" s="144" t="s">
        <v>52</v>
      </c>
      <c r="I53" s="144"/>
      <c r="J53" s="412">
        <f t="shared" si="54"/>
        <v>0</v>
      </c>
      <c r="K53" s="149" t="str">
        <f t="shared" si="55"/>
        <v/>
      </c>
      <c r="L53" s="186" t="str">
        <f t="shared" si="53"/>
        <v/>
      </c>
      <c r="AA53" s="213" t="s">
        <v>28</v>
      </c>
      <c r="AD53" s="27"/>
      <c r="AH53"/>
      <c r="AJ53"/>
      <c r="AK53"/>
      <c r="AL53"/>
      <c r="AN53"/>
      <c r="AO53" s="1"/>
      <c r="AP53" s="1"/>
      <c r="AQ53" s="1"/>
      <c r="AR53" s="1"/>
      <c r="AY53"/>
      <c r="AZ53"/>
      <c r="BA53"/>
      <c r="BB53"/>
      <c r="BE53" s="1"/>
      <c r="BF53" s="1"/>
      <c r="BN53"/>
      <c r="BO53"/>
    </row>
    <row r="54" spans="1:67" hidden="1" x14ac:dyDescent="0.2">
      <c r="D54" s="24"/>
      <c r="H54" s="144" t="s">
        <v>53</v>
      </c>
      <c r="I54" s="144"/>
      <c r="J54" s="412">
        <f t="shared" si="54"/>
        <v>0</v>
      </c>
      <c r="K54" s="149" t="str">
        <f t="shared" si="55"/>
        <v/>
      </c>
      <c r="L54" s="186" t="str">
        <f t="shared" si="53"/>
        <v/>
      </c>
      <c r="T54" s="81"/>
      <c r="AD54" s="27"/>
      <c r="AH54"/>
      <c r="AJ54"/>
      <c r="AK54"/>
      <c r="AL54"/>
      <c r="AN54"/>
      <c r="AO54" s="1"/>
      <c r="AP54" s="1"/>
      <c r="AQ54" s="1"/>
      <c r="AR54" s="1"/>
      <c r="AY54"/>
      <c r="AZ54"/>
      <c r="BA54"/>
      <c r="BB54"/>
      <c r="BE54" s="1"/>
      <c r="BF54" s="1"/>
      <c r="BN54"/>
      <c r="BO54"/>
    </row>
    <row r="55" spans="1:67" hidden="1" x14ac:dyDescent="0.2">
      <c r="D55" s="24"/>
      <c r="H55" s="144" t="s">
        <v>54</v>
      </c>
      <c r="I55" s="144"/>
      <c r="J55" s="412">
        <f t="shared" si="54"/>
        <v>0</v>
      </c>
      <c r="K55" s="149" t="str">
        <f t="shared" si="55"/>
        <v/>
      </c>
      <c r="L55" s="186" t="str">
        <f t="shared" si="53"/>
        <v/>
      </c>
      <c r="AD55" s="27"/>
      <c r="AH55"/>
      <c r="AJ55"/>
      <c r="AK55"/>
      <c r="AL55"/>
      <c r="AN55"/>
      <c r="AO55" s="1"/>
      <c r="AP55" s="1"/>
      <c r="AQ55" s="1"/>
      <c r="AR55" s="1"/>
      <c r="AY55"/>
      <c r="AZ55"/>
      <c r="BA55"/>
      <c r="BB55"/>
      <c r="BE55" s="1"/>
      <c r="BF55" s="1"/>
      <c r="BN55"/>
      <c r="BO55"/>
    </row>
    <row r="56" spans="1:67" hidden="1" x14ac:dyDescent="0.2">
      <c r="D56" s="24"/>
      <c r="H56" s="144" t="s">
        <v>108</v>
      </c>
      <c r="I56" s="144"/>
      <c r="J56" s="412">
        <f t="shared" si="54"/>
        <v>0</v>
      </c>
      <c r="K56" s="149" t="str">
        <f t="shared" si="55"/>
        <v/>
      </c>
      <c r="L56" s="186" t="str">
        <f t="shared" si="53"/>
        <v/>
      </c>
      <c r="AD56" s="27"/>
      <c r="AH56"/>
      <c r="AJ56"/>
      <c r="AK56"/>
      <c r="AL56"/>
      <c r="AN56"/>
      <c r="AO56" s="1"/>
      <c r="AP56" s="1"/>
      <c r="AQ56" s="1"/>
      <c r="AR56" s="1"/>
      <c r="AY56"/>
      <c r="AZ56"/>
      <c r="BA56"/>
      <c r="BB56"/>
      <c r="BE56" s="1"/>
      <c r="BF56" s="1"/>
      <c r="BN56"/>
      <c r="BO56"/>
    </row>
    <row r="57" spans="1:67" ht="27.75" hidden="1" customHeight="1" x14ac:dyDescent="0.2">
      <c r="D57" s="95"/>
      <c r="G57" s="1" t="s">
        <v>110</v>
      </c>
      <c r="H57" s="1" t="s">
        <v>111</v>
      </c>
      <c r="I57" s="1"/>
      <c r="J57" s="82" t="s">
        <v>112</v>
      </c>
      <c r="K57" s="32" t="s">
        <v>113</v>
      </c>
      <c r="L57" s="1" t="s">
        <v>114</v>
      </c>
      <c r="M57" s="1" t="s">
        <v>115</v>
      </c>
      <c r="N57" s="1" t="s">
        <v>70</v>
      </c>
      <c r="O57" s="1" t="s">
        <v>116</v>
      </c>
      <c r="P57" s="105" t="s">
        <v>117</v>
      </c>
      <c r="Q57" s="105" t="s">
        <v>134</v>
      </c>
      <c r="R57" s="105" t="s">
        <v>135</v>
      </c>
      <c r="S57" s="105" t="s">
        <v>132</v>
      </c>
      <c r="T57" s="105" t="s">
        <v>118</v>
      </c>
      <c r="U57" s="105" t="s">
        <v>119</v>
      </c>
      <c r="V57" s="105" t="s">
        <v>133</v>
      </c>
      <c r="W57" s="105"/>
      <c r="X57" s="105" t="s">
        <v>128</v>
      </c>
      <c r="Y57" s="105" t="s">
        <v>130</v>
      </c>
      <c r="AD57" s="27"/>
      <c r="AH57"/>
      <c r="AJ57"/>
      <c r="AK57"/>
      <c r="AL57"/>
      <c r="AN57"/>
      <c r="AO57" s="1"/>
      <c r="AP57" s="1"/>
      <c r="AQ57" s="1"/>
      <c r="AR57" s="1"/>
      <c r="AY57"/>
      <c r="AZ57"/>
      <c r="BA57"/>
      <c r="BB57"/>
      <c r="BE57" s="1"/>
      <c r="BF57" s="1"/>
      <c r="BN57"/>
      <c r="BO57"/>
    </row>
    <row r="58" spans="1:67" ht="21.75" hidden="1" customHeight="1" x14ac:dyDescent="0.2">
      <c r="A58" s="256" t="str">
        <f>IF(COUNTBLANK(B17:C17)&lt;2,D17,"")</f>
        <v/>
      </c>
      <c r="B58" t="str">
        <f>TRIM(B17)</f>
        <v/>
      </c>
      <c r="C58" t="str">
        <f>TRIM(C17)</f>
        <v/>
      </c>
      <c r="D58" s="1">
        <f>D17</f>
        <v>0</v>
      </c>
      <c r="E58" t="str">
        <f>UPPER(J17)</f>
        <v/>
      </c>
      <c r="G58" s="1">
        <f>DAY(D58)</f>
        <v>0</v>
      </c>
      <c r="H58" s="1">
        <f>MONTH(D58)</f>
        <v>1</v>
      </c>
      <c r="I58" s="1"/>
      <c r="J58" s="1">
        <f>YEAR(D58)</f>
        <v>1900</v>
      </c>
      <c r="K58" s="32">
        <f t="shared" ref="K58:K84" si="56">DAY(Q_Date)-G58</f>
        <v>19</v>
      </c>
      <c r="L58" s="32">
        <f t="shared" ref="L58:L84" si="57">MONTH(Q_Date)-H58</f>
        <v>9</v>
      </c>
      <c r="M58" s="32">
        <f t="shared" ref="M58:M84" si="58">YEAR(Q_Date)-J58</f>
        <v>119</v>
      </c>
      <c r="N58" s="1">
        <f t="shared" ref="N58:N84" si="59">M58+L58/12+K58/365</f>
        <v>119.80205479452054</v>
      </c>
      <c r="O58" s="1" t="str">
        <f t="shared" ref="O58:O84" si="60">IF(B58&lt;&gt;"",INT(N58),"")</f>
        <v/>
      </c>
      <c r="P58" s="1" t="str">
        <f t="shared" ref="P58:P84" si="61">IF(AND($O58&gt;18,$L17="N"),"",IF(AND(COUNTBLANK($K17)=1,$O58&lt;14),1,""))</f>
        <v/>
      </c>
      <c r="Q58" t="str">
        <f>IF(AND(N58&gt;=13.5,N58&lt;14),1,"")</f>
        <v/>
      </c>
      <c r="R58" s="1" t="str">
        <f t="shared" ref="R58:R84" si="62">IF(AND($O58&gt;18,$L17="N"),"",IF(AND(COUNTBLANK($K17)=1,$O58&gt;=14,$O58&lt;18),1,""))</f>
        <v/>
      </c>
      <c r="T58" s="1" t="str">
        <f t="shared" ref="T58:T84" si="63">IF(AND($O58&gt;18,$L17="N"),"",IF(AND(COUNTBLANK($K17)=1,$O58&gt;=18,$O58&lt;25),1,""))</f>
        <v/>
      </c>
      <c r="U58" s="1" t="str">
        <f t="shared" ref="U58:U84" si="64">IF(AND($O58&gt;18,$L17="N"),"",IF(AND(COUNTBLANK($K17)=1,$B58&lt;&gt;"",$O58&gt;=25),1,""))</f>
        <v/>
      </c>
      <c r="V58" t="str">
        <f>IF(SUM(P58:U58)=1,1,"")</f>
        <v/>
      </c>
      <c r="X58" t="str">
        <f t="shared" ref="X58:X84" si="65">IF(COUNTIF(K17,"R")=1,1,"")</f>
        <v/>
      </c>
      <c r="Y58" t="str">
        <f>IF(COUNTIF(L17,"n")=1,1,"")</f>
        <v/>
      </c>
      <c r="AD58" s="27"/>
      <c r="AH58"/>
      <c r="AJ58"/>
      <c r="AK58"/>
      <c r="AL58"/>
      <c r="AN58"/>
      <c r="AO58" s="1"/>
      <c r="AP58" s="1"/>
      <c r="AQ58" s="1"/>
      <c r="AR58" s="1"/>
      <c r="AY58"/>
      <c r="AZ58"/>
      <c r="BA58"/>
      <c r="BB58"/>
      <c r="BE58" s="1"/>
      <c r="BF58" s="1"/>
      <c r="BN58"/>
      <c r="BO58"/>
    </row>
    <row r="59" spans="1:67" hidden="1" x14ac:dyDescent="0.2">
      <c r="A59" s="256" t="str">
        <f t="shared" ref="A59:A84" si="66">IF(COUNTBLANK(B18:C18)&lt;2,D18,"")</f>
        <v/>
      </c>
      <c r="B59" t="str">
        <f t="shared" ref="B59:B84" si="67">TRIM(B18)</f>
        <v/>
      </c>
      <c r="C59" t="str">
        <f t="shared" ref="C59:C84" si="68">TRIM(C18)</f>
        <v/>
      </c>
      <c r="D59" s="1">
        <f t="shared" ref="D59:D84" si="69">D18</f>
        <v>0</v>
      </c>
      <c r="E59" t="str">
        <f t="shared" ref="E59:E84" si="70">UPPER(J18)</f>
        <v/>
      </c>
      <c r="G59" s="1">
        <f t="shared" ref="G59:G84" si="71">DAY(D59)</f>
        <v>0</v>
      </c>
      <c r="H59" s="1">
        <f t="shared" ref="H59:H84" si="72">MONTH(D59)</f>
        <v>1</v>
      </c>
      <c r="I59" s="1"/>
      <c r="J59" s="1">
        <f t="shared" ref="J59:J84" si="73">YEAR(D59)</f>
        <v>1900</v>
      </c>
      <c r="K59" s="32">
        <f t="shared" si="56"/>
        <v>19</v>
      </c>
      <c r="L59" s="32">
        <f t="shared" si="57"/>
        <v>9</v>
      </c>
      <c r="M59" s="32">
        <f t="shared" si="58"/>
        <v>119</v>
      </c>
      <c r="N59" s="1">
        <f t="shared" si="59"/>
        <v>119.80205479452054</v>
      </c>
      <c r="O59" s="1" t="str">
        <f t="shared" si="60"/>
        <v/>
      </c>
      <c r="P59" s="1" t="str">
        <f t="shared" si="61"/>
        <v/>
      </c>
      <c r="Q59" t="str">
        <f t="shared" ref="Q59:Q84" si="74">IF(AND(N59&gt;=13.5,N59&lt;14),1,"")</f>
        <v/>
      </c>
      <c r="R59" s="1" t="str">
        <f t="shared" si="62"/>
        <v/>
      </c>
      <c r="T59" s="1" t="str">
        <f t="shared" si="63"/>
        <v/>
      </c>
      <c r="U59" s="1" t="str">
        <f t="shared" si="64"/>
        <v/>
      </c>
      <c r="V59" t="str">
        <f t="shared" ref="V59:V84" si="75">IF(SUM(P59:U59)=1,1,"")</f>
        <v/>
      </c>
      <c r="X59" t="str">
        <f t="shared" si="65"/>
        <v/>
      </c>
      <c r="Y59" t="str">
        <f t="shared" ref="Y59:Y84" si="76">IF(COUNTIF(L18,"n")=1,1,"")</f>
        <v/>
      </c>
      <c r="AD59" s="27"/>
      <c r="AH59"/>
      <c r="AJ59"/>
      <c r="AK59"/>
      <c r="AL59"/>
      <c r="AN59"/>
      <c r="AO59" s="1"/>
      <c r="AP59" s="1"/>
      <c r="AQ59" s="1"/>
      <c r="AR59" s="1"/>
      <c r="AY59"/>
      <c r="AZ59"/>
      <c r="BA59"/>
      <c r="BB59"/>
      <c r="BE59" s="1"/>
      <c r="BF59" s="1"/>
      <c r="BN59"/>
      <c r="BO59"/>
    </row>
    <row r="60" spans="1:67" hidden="1" x14ac:dyDescent="0.2">
      <c r="A60" s="256" t="str">
        <f t="shared" si="66"/>
        <v/>
      </c>
      <c r="B60" t="str">
        <f t="shared" si="67"/>
        <v/>
      </c>
      <c r="C60" t="str">
        <f t="shared" si="68"/>
        <v/>
      </c>
      <c r="D60" s="1">
        <f t="shared" si="69"/>
        <v>0</v>
      </c>
      <c r="E60" t="str">
        <f t="shared" si="70"/>
        <v/>
      </c>
      <c r="G60" s="1">
        <f t="shared" si="71"/>
        <v>0</v>
      </c>
      <c r="H60" s="1">
        <f t="shared" si="72"/>
        <v>1</v>
      </c>
      <c r="I60" s="1"/>
      <c r="J60" s="1">
        <f t="shared" si="73"/>
        <v>1900</v>
      </c>
      <c r="K60" s="32">
        <f t="shared" si="56"/>
        <v>19</v>
      </c>
      <c r="L60" s="32">
        <f t="shared" si="57"/>
        <v>9</v>
      </c>
      <c r="M60" s="32">
        <f t="shared" si="58"/>
        <v>119</v>
      </c>
      <c r="N60" s="1">
        <f t="shared" si="59"/>
        <v>119.80205479452054</v>
      </c>
      <c r="O60" s="1" t="str">
        <f t="shared" si="60"/>
        <v/>
      </c>
      <c r="P60" s="1" t="str">
        <f t="shared" si="61"/>
        <v/>
      </c>
      <c r="Q60" t="str">
        <f t="shared" si="74"/>
        <v/>
      </c>
      <c r="R60" s="1" t="str">
        <f t="shared" si="62"/>
        <v/>
      </c>
      <c r="T60" s="1" t="str">
        <f t="shared" si="63"/>
        <v/>
      </c>
      <c r="U60" s="1" t="str">
        <f t="shared" si="64"/>
        <v/>
      </c>
      <c r="V60" t="str">
        <f t="shared" si="75"/>
        <v/>
      </c>
      <c r="X60" t="str">
        <f t="shared" si="65"/>
        <v/>
      </c>
      <c r="Y60" t="str">
        <f t="shared" si="76"/>
        <v/>
      </c>
      <c r="AD60" s="27"/>
      <c r="AH60"/>
      <c r="AJ60"/>
      <c r="AK60"/>
      <c r="AL60"/>
      <c r="AN60"/>
      <c r="AO60" s="1"/>
      <c r="AP60" s="1"/>
      <c r="AQ60" s="1"/>
      <c r="AR60" s="1"/>
      <c r="AY60"/>
      <c r="AZ60"/>
      <c r="BA60"/>
      <c r="BB60"/>
      <c r="BE60" s="1"/>
      <c r="BF60" s="1"/>
      <c r="BN60"/>
      <c r="BO60"/>
    </row>
    <row r="61" spans="1:67" hidden="1" x14ac:dyDescent="0.2">
      <c r="A61" s="256" t="str">
        <f t="shared" si="66"/>
        <v/>
      </c>
      <c r="B61" t="str">
        <f t="shared" si="67"/>
        <v/>
      </c>
      <c r="C61" t="str">
        <f t="shared" si="68"/>
        <v/>
      </c>
      <c r="D61" s="1">
        <f t="shared" si="69"/>
        <v>0</v>
      </c>
      <c r="E61" t="str">
        <f t="shared" si="70"/>
        <v/>
      </c>
      <c r="G61" s="1">
        <f t="shared" si="71"/>
        <v>0</v>
      </c>
      <c r="H61" s="1">
        <f t="shared" si="72"/>
        <v>1</v>
      </c>
      <c r="I61" s="1"/>
      <c r="J61" s="1">
        <f t="shared" si="73"/>
        <v>1900</v>
      </c>
      <c r="K61" s="32">
        <f t="shared" si="56"/>
        <v>19</v>
      </c>
      <c r="L61" s="32">
        <f t="shared" si="57"/>
        <v>9</v>
      </c>
      <c r="M61" s="32">
        <f t="shared" si="58"/>
        <v>119</v>
      </c>
      <c r="N61" s="1">
        <f t="shared" si="59"/>
        <v>119.80205479452054</v>
      </c>
      <c r="O61" s="1" t="str">
        <f t="shared" si="60"/>
        <v/>
      </c>
      <c r="P61" s="1" t="str">
        <f t="shared" si="61"/>
        <v/>
      </c>
      <c r="Q61" t="str">
        <f t="shared" si="74"/>
        <v/>
      </c>
      <c r="R61" s="1" t="str">
        <f t="shared" si="62"/>
        <v/>
      </c>
      <c r="T61" s="1" t="str">
        <f t="shared" si="63"/>
        <v/>
      </c>
      <c r="U61" s="1" t="str">
        <f t="shared" si="64"/>
        <v/>
      </c>
      <c r="V61" t="str">
        <f t="shared" si="75"/>
        <v/>
      </c>
      <c r="X61" t="str">
        <f t="shared" si="65"/>
        <v/>
      </c>
      <c r="Y61" t="str">
        <f t="shared" si="76"/>
        <v/>
      </c>
      <c r="AD61" s="27"/>
      <c r="AH61"/>
      <c r="AJ61"/>
      <c r="AK61"/>
      <c r="AL61"/>
      <c r="AN61"/>
      <c r="AO61" s="1"/>
      <c r="AP61" s="1"/>
      <c r="AQ61" s="1"/>
      <c r="AR61" s="1"/>
      <c r="AY61"/>
      <c r="AZ61"/>
      <c r="BA61"/>
      <c r="BB61"/>
      <c r="BE61" s="1"/>
      <c r="BF61" s="1"/>
      <c r="BN61"/>
      <c r="BO61"/>
    </row>
    <row r="62" spans="1:67" hidden="1" x14ac:dyDescent="0.2">
      <c r="A62" s="256" t="str">
        <f t="shared" si="66"/>
        <v/>
      </c>
      <c r="B62" t="str">
        <f t="shared" si="67"/>
        <v/>
      </c>
      <c r="C62" t="str">
        <f t="shared" si="68"/>
        <v/>
      </c>
      <c r="D62" s="1">
        <f t="shared" si="69"/>
        <v>0</v>
      </c>
      <c r="E62" t="str">
        <f t="shared" si="70"/>
        <v/>
      </c>
      <c r="G62" s="1">
        <f t="shared" si="71"/>
        <v>0</v>
      </c>
      <c r="H62" s="1">
        <f t="shared" si="72"/>
        <v>1</v>
      </c>
      <c r="I62" s="1"/>
      <c r="J62" s="1">
        <f t="shared" si="73"/>
        <v>1900</v>
      </c>
      <c r="K62" s="32">
        <f t="shared" si="56"/>
        <v>19</v>
      </c>
      <c r="L62" s="32">
        <f t="shared" si="57"/>
        <v>9</v>
      </c>
      <c r="M62" s="32">
        <f t="shared" si="58"/>
        <v>119</v>
      </c>
      <c r="N62" s="1">
        <f t="shared" si="59"/>
        <v>119.80205479452054</v>
      </c>
      <c r="O62" s="1" t="str">
        <f t="shared" si="60"/>
        <v/>
      </c>
      <c r="P62" s="1" t="str">
        <f t="shared" si="61"/>
        <v/>
      </c>
      <c r="Q62" t="str">
        <f t="shared" si="74"/>
        <v/>
      </c>
      <c r="R62" s="1" t="str">
        <f t="shared" si="62"/>
        <v/>
      </c>
      <c r="T62" s="1" t="str">
        <f t="shared" si="63"/>
        <v/>
      </c>
      <c r="U62" s="1" t="str">
        <f t="shared" si="64"/>
        <v/>
      </c>
      <c r="V62" t="str">
        <f t="shared" si="75"/>
        <v/>
      </c>
      <c r="X62" t="str">
        <f t="shared" si="65"/>
        <v/>
      </c>
      <c r="Y62" t="str">
        <f t="shared" si="76"/>
        <v/>
      </c>
      <c r="AD62" s="27"/>
      <c r="AH62"/>
      <c r="AJ62"/>
      <c r="AK62"/>
      <c r="AL62"/>
      <c r="AN62"/>
      <c r="AO62" s="1"/>
      <c r="AP62" s="1"/>
      <c r="AQ62" s="1"/>
      <c r="AR62" s="1"/>
      <c r="AY62"/>
      <c r="AZ62"/>
      <c r="BA62"/>
      <c r="BB62"/>
      <c r="BE62" s="1"/>
      <c r="BF62" s="1"/>
      <c r="BN62"/>
      <c r="BO62"/>
    </row>
    <row r="63" spans="1:67" hidden="1" x14ac:dyDescent="0.2">
      <c r="A63" s="256" t="str">
        <f t="shared" si="66"/>
        <v/>
      </c>
      <c r="B63" t="str">
        <f t="shared" si="67"/>
        <v/>
      </c>
      <c r="C63" t="str">
        <f t="shared" si="68"/>
        <v/>
      </c>
      <c r="D63" s="1">
        <f t="shared" si="69"/>
        <v>0</v>
      </c>
      <c r="E63" t="str">
        <f t="shared" si="70"/>
        <v/>
      </c>
      <c r="G63" s="1">
        <f t="shared" si="71"/>
        <v>0</v>
      </c>
      <c r="H63" s="1">
        <f t="shared" si="72"/>
        <v>1</v>
      </c>
      <c r="I63" s="1"/>
      <c r="J63" s="1">
        <f t="shared" si="73"/>
        <v>1900</v>
      </c>
      <c r="K63" s="32">
        <f t="shared" si="56"/>
        <v>19</v>
      </c>
      <c r="L63" s="32">
        <f t="shared" si="57"/>
        <v>9</v>
      </c>
      <c r="M63" s="32">
        <f t="shared" si="58"/>
        <v>119</v>
      </c>
      <c r="N63" s="1">
        <f t="shared" si="59"/>
        <v>119.80205479452054</v>
      </c>
      <c r="O63" s="1" t="str">
        <f t="shared" si="60"/>
        <v/>
      </c>
      <c r="P63" s="1" t="str">
        <f t="shared" si="61"/>
        <v/>
      </c>
      <c r="Q63" t="str">
        <f t="shared" si="74"/>
        <v/>
      </c>
      <c r="R63" s="1" t="str">
        <f t="shared" si="62"/>
        <v/>
      </c>
      <c r="T63" s="1" t="str">
        <f t="shared" si="63"/>
        <v/>
      </c>
      <c r="U63" s="1" t="str">
        <f t="shared" si="64"/>
        <v/>
      </c>
      <c r="V63" t="str">
        <f t="shared" si="75"/>
        <v/>
      </c>
      <c r="X63" t="str">
        <f t="shared" si="65"/>
        <v/>
      </c>
      <c r="Y63" t="str">
        <f t="shared" si="76"/>
        <v/>
      </c>
      <c r="AD63" s="27"/>
      <c r="AH63"/>
      <c r="AJ63"/>
      <c r="AK63"/>
      <c r="AL63"/>
      <c r="AN63"/>
      <c r="AO63" s="1"/>
      <c r="AP63" s="1"/>
      <c r="AQ63" s="1"/>
      <c r="AR63" s="1"/>
      <c r="AY63"/>
      <c r="AZ63"/>
      <c r="BA63"/>
      <c r="BB63"/>
      <c r="BE63" s="1"/>
      <c r="BF63" s="1"/>
      <c r="BN63"/>
      <c r="BO63"/>
    </row>
    <row r="64" spans="1:67" hidden="1" x14ac:dyDescent="0.2">
      <c r="A64" s="256" t="str">
        <f t="shared" si="66"/>
        <v/>
      </c>
      <c r="B64" t="str">
        <f t="shared" si="67"/>
        <v/>
      </c>
      <c r="C64" t="str">
        <f t="shared" si="68"/>
        <v/>
      </c>
      <c r="D64" s="1">
        <f t="shared" si="69"/>
        <v>0</v>
      </c>
      <c r="E64" t="str">
        <f t="shared" si="70"/>
        <v/>
      </c>
      <c r="G64" s="1">
        <f t="shared" si="71"/>
        <v>0</v>
      </c>
      <c r="H64" s="1">
        <f t="shared" si="72"/>
        <v>1</v>
      </c>
      <c r="I64" s="1"/>
      <c r="J64" s="1">
        <f t="shared" si="73"/>
        <v>1900</v>
      </c>
      <c r="K64" s="32">
        <f t="shared" si="56"/>
        <v>19</v>
      </c>
      <c r="L64" s="32">
        <f t="shared" si="57"/>
        <v>9</v>
      </c>
      <c r="M64" s="32">
        <f t="shared" si="58"/>
        <v>119</v>
      </c>
      <c r="N64" s="1">
        <f t="shared" si="59"/>
        <v>119.80205479452054</v>
      </c>
      <c r="O64" s="1" t="str">
        <f t="shared" si="60"/>
        <v/>
      </c>
      <c r="P64" s="1" t="str">
        <f t="shared" si="61"/>
        <v/>
      </c>
      <c r="Q64" t="str">
        <f t="shared" si="74"/>
        <v/>
      </c>
      <c r="R64" s="1" t="str">
        <f t="shared" si="62"/>
        <v/>
      </c>
      <c r="T64" s="1" t="str">
        <f t="shared" si="63"/>
        <v/>
      </c>
      <c r="U64" s="1" t="str">
        <f t="shared" si="64"/>
        <v/>
      </c>
      <c r="V64" t="str">
        <f t="shared" si="75"/>
        <v/>
      </c>
      <c r="X64" t="str">
        <f t="shared" si="65"/>
        <v/>
      </c>
      <c r="Y64" t="str">
        <f t="shared" si="76"/>
        <v/>
      </c>
      <c r="AD64" s="27"/>
      <c r="AH64"/>
      <c r="AJ64"/>
      <c r="AK64"/>
      <c r="AL64"/>
      <c r="AN64"/>
      <c r="AO64" s="1"/>
      <c r="AP64" s="1"/>
      <c r="AQ64" s="1"/>
      <c r="AR64" s="1"/>
      <c r="AY64"/>
      <c r="AZ64"/>
      <c r="BA64"/>
      <c r="BB64"/>
      <c r="BE64" s="1"/>
      <c r="BF64" s="1"/>
      <c r="BN64"/>
      <c r="BO64"/>
    </row>
    <row r="65" spans="1:67" hidden="1" x14ac:dyDescent="0.2">
      <c r="A65" s="256" t="str">
        <f t="shared" si="66"/>
        <v/>
      </c>
      <c r="B65" t="str">
        <f t="shared" si="67"/>
        <v/>
      </c>
      <c r="C65" t="str">
        <f t="shared" si="68"/>
        <v/>
      </c>
      <c r="D65" s="1">
        <f t="shared" si="69"/>
        <v>0</v>
      </c>
      <c r="E65" t="str">
        <f t="shared" si="70"/>
        <v/>
      </c>
      <c r="G65" s="1">
        <f t="shared" si="71"/>
        <v>0</v>
      </c>
      <c r="H65" s="1">
        <f t="shared" si="72"/>
        <v>1</v>
      </c>
      <c r="I65" s="1"/>
      <c r="J65" s="1">
        <f t="shared" si="73"/>
        <v>1900</v>
      </c>
      <c r="K65" s="32">
        <f t="shared" si="56"/>
        <v>19</v>
      </c>
      <c r="L65" s="32">
        <f t="shared" si="57"/>
        <v>9</v>
      </c>
      <c r="M65" s="32">
        <f t="shared" si="58"/>
        <v>119</v>
      </c>
      <c r="N65" s="1">
        <f t="shared" si="59"/>
        <v>119.80205479452054</v>
      </c>
      <c r="O65" s="1" t="str">
        <f t="shared" si="60"/>
        <v/>
      </c>
      <c r="P65" s="1" t="str">
        <f t="shared" si="61"/>
        <v/>
      </c>
      <c r="Q65" t="str">
        <f t="shared" si="74"/>
        <v/>
      </c>
      <c r="R65" s="1" t="str">
        <f t="shared" si="62"/>
        <v/>
      </c>
      <c r="T65" s="1" t="str">
        <f t="shared" si="63"/>
        <v/>
      </c>
      <c r="U65" s="1" t="str">
        <f t="shared" si="64"/>
        <v/>
      </c>
      <c r="V65" t="str">
        <f t="shared" si="75"/>
        <v/>
      </c>
      <c r="X65" t="str">
        <f t="shared" si="65"/>
        <v/>
      </c>
      <c r="Y65" t="str">
        <f t="shared" si="76"/>
        <v/>
      </c>
      <c r="AD65" s="27"/>
      <c r="AH65"/>
      <c r="AJ65"/>
      <c r="AK65"/>
      <c r="AL65"/>
      <c r="AN65"/>
      <c r="AO65" s="1"/>
      <c r="AP65" s="1"/>
      <c r="AQ65" s="1"/>
      <c r="AR65" s="1"/>
      <c r="AY65"/>
      <c r="AZ65"/>
      <c r="BA65"/>
      <c r="BB65"/>
      <c r="BE65" s="1"/>
      <c r="BF65" s="1"/>
      <c r="BN65"/>
      <c r="BO65"/>
    </row>
    <row r="66" spans="1:67" hidden="1" x14ac:dyDescent="0.2">
      <c r="A66" s="256" t="str">
        <f t="shared" si="66"/>
        <v/>
      </c>
      <c r="B66" t="str">
        <f t="shared" si="67"/>
        <v/>
      </c>
      <c r="C66" t="str">
        <f t="shared" si="68"/>
        <v/>
      </c>
      <c r="D66" s="1">
        <f t="shared" si="69"/>
        <v>0</v>
      </c>
      <c r="E66" t="str">
        <f t="shared" si="70"/>
        <v/>
      </c>
      <c r="G66" s="1">
        <f t="shared" si="71"/>
        <v>0</v>
      </c>
      <c r="H66" s="1">
        <f t="shared" si="72"/>
        <v>1</v>
      </c>
      <c r="I66" s="1"/>
      <c r="J66" s="1">
        <f t="shared" si="73"/>
        <v>1900</v>
      </c>
      <c r="K66" s="32">
        <f t="shared" si="56"/>
        <v>19</v>
      </c>
      <c r="L66" s="32">
        <f t="shared" si="57"/>
        <v>9</v>
      </c>
      <c r="M66" s="32">
        <f t="shared" si="58"/>
        <v>119</v>
      </c>
      <c r="N66" s="1">
        <f t="shared" si="59"/>
        <v>119.80205479452054</v>
      </c>
      <c r="O66" s="1" t="str">
        <f t="shared" si="60"/>
        <v/>
      </c>
      <c r="P66" s="1" t="str">
        <f t="shared" si="61"/>
        <v/>
      </c>
      <c r="Q66" t="str">
        <f t="shared" si="74"/>
        <v/>
      </c>
      <c r="R66" s="1" t="str">
        <f t="shared" si="62"/>
        <v/>
      </c>
      <c r="T66" s="1" t="str">
        <f t="shared" si="63"/>
        <v/>
      </c>
      <c r="U66" s="1" t="str">
        <f t="shared" si="64"/>
        <v/>
      </c>
      <c r="V66" t="str">
        <f t="shared" si="75"/>
        <v/>
      </c>
      <c r="X66" t="str">
        <f t="shared" si="65"/>
        <v/>
      </c>
      <c r="Y66" t="str">
        <f t="shared" si="76"/>
        <v/>
      </c>
      <c r="AD66" s="27"/>
      <c r="AH66"/>
      <c r="AJ66"/>
      <c r="AK66"/>
      <c r="AL66"/>
      <c r="AN66"/>
      <c r="AO66" s="1"/>
      <c r="AP66" s="1"/>
      <c r="AQ66" s="1"/>
      <c r="AR66" s="1"/>
      <c r="AY66"/>
      <c r="AZ66"/>
      <c r="BA66"/>
      <c r="BB66"/>
      <c r="BE66" s="1"/>
      <c r="BF66" s="1"/>
      <c r="BN66"/>
      <c r="BO66"/>
    </row>
    <row r="67" spans="1:67" hidden="1" x14ac:dyDescent="0.2">
      <c r="A67" s="256" t="str">
        <f t="shared" si="66"/>
        <v/>
      </c>
      <c r="B67" t="str">
        <f t="shared" si="67"/>
        <v/>
      </c>
      <c r="C67" t="str">
        <f t="shared" si="68"/>
        <v/>
      </c>
      <c r="D67" s="1">
        <f t="shared" si="69"/>
        <v>0</v>
      </c>
      <c r="E67" t="str">
        <f t="shared" si="70"/>
        <v/>
      </c>
      <c r="G67" s="1">
        <f t="shared" si="71"/>
        <v>0</v>
      </c>
      <c r="H67" s="1">
        <f t="shared" si="72"/>
        <v>1</v>
      </c>
      <c r="I67" s="1"/>
      <c r="J67" s="1">
        <f t="shared" si="73"/>
        <v>1900</v>
      </c>
      <c r="K67" s="32">
        <f t="shared" si="56"/>
        <v>19</v>
      </c>
      <c r="L67" s="32">
        <f t="shared" si="57"/>
        <v>9</v>
      </c>
      <c r="M67" s="32">
        <f t="shared" si="58"/>
        <v>119</v>
      </c>
      <c r="N67" s="1">
        <f t="shared" si="59"/>
        <v>119.80205479452054</v>
      </c>
      <c r="O67" s="1" t="str">
        <f t="shared" si="60"/>
        <v/>
      </c>
      <c r="P67" s="1" t="str">
        <f t="shared" si="61"/>
        <v/>
      </c>
      <c r="Q67" t="str">
        <f t="shared" si="74"/>
        <v/>
      </c>
      <c r="R67" s="1" t="str">
        <f t="shared" si="62"/>
        <v/>
      </c>
      <c r="T67" s="1" t="str">
        <f t="shared" si="63"/>
        <v/>
      </c>
      <c r="U67" s="1" t="str">
        <f t="shared" si="64"/>
        <v/>
      </c>
      <c r="V67" t="str">
        <f t="shared" si="75"/>
        <v/>
      </c>
      <c r="X67" t="str">
        <f t="shared" si="65"/>
        <v/>
      </c>
      <c r="Y67" t="str">
        <f t="shared" si="76"/>
        <v/>
      </c>
      <c r="AD67" s="27"/>
      <c r="AH67"/>
      <c r="AJ67"/>
      <c r="AK67"/>
      <c r="AL67"/>
      <c r="AN67"/>
      <c r="AO67" s="1"/>
      <c r="AP67" s="1"/>
      <c r="AQ67" s="1"/>
      <c r="AR67" s="1"/>
      <c r="AY67"/>
      <c r="AZ67"/>
      <c r="BA67"/>
      <c r="BB67"/>
      <c r="BE67" s="1"/>
      <c r="BF67" s="1"/>
      <c r="BN67"/>
      <c r="BO67"/>
    </row>
    <row r="68" spans="1:67" hidden="1" x14ac:dyDescent="0.2">
      <c r="A68" s="256" t="str">
        <f t="shared" si="66"/>
        <v/>
      </c>
      <c r="B68" t="str">
        <f t="shared" si="67"/>
        <v/>
      </c>
      <c r="C68" t="str">
        <f t="shared" si="68"/>
        <v/>
      </c>
      <c r="D68" s="1">
        <f t="shared" si="69"/>
        <v>0</v>
      </c>
      <c r="E68" t="str">
        <f t="shared" si="70"/>
        <v/>
      </c>
      <c r="G68" s="1">
        <f t="shared" si="71"/>
        <v>0</v>
      </c>
      <c r="H68" s="1">
        <f t="shared" si="72"/>
        <v>1</v>
      </c>
      <c r="I68" s="1"/>
      <c r="J68" s="1">
        <f t="shared" si="73"/>
        <v>1900</v>
      </c>
      <c r="K68" s="32">
        <f t="shared" si="56"/>
        <v>19</v>
      </c>
      <c r="L68" s="32">
        <f t="shared" si="57"/>
        <v>9</v>
      </c>
      <c r="M68" s="32">
        <f t="shared" si="58"/>
        <v>119</v>
      </c>
      <c r="N68" s="1">
        <f t="shared" si="59"/>
        <v>119.80205479452054</v>
      </c>
      <c r="O68" s="1" t="str">
        <f t="shared" si="60"/>
        <v/>
      </c>
      <c r="P68" s="1" t="str">
        <f t="shared" si="61"/>
        <v/>
      </c>
      <c r="Q68" t="str">
        <f t="shared" si="74"/>
        <v/>
      </c>
      <c r="R68" s="1" t="str">
        <f t="shared" si="62"/>
        <v/>
      </c>
      <c r="T68" s="1" t="str">
        <f t="shared" si="63"/>
        <v/>
      </c>
      <c r="U68" s="1" t="str">
        <f t="shared" si="64"/>
        <v/>
      </c>
      <c r="V68" t="str">
        <f t="shared" si="75"/>
        <v/>
      </c>
      <c r="X68" t="str">
        <f t="shared" si="65"/>
        <v/>
      </c>
      <c r="Y68" t="str">
        <f t="shared" si="76"/>
        <v/>
      </c>
      <c r="AD68" s="27"/>
      <c r="AH68"/>
      <c r="AJ68"/>
      <c r="AK68"/>
      <c r="AL68"/>
      <c r="AN68"/>
      <c r="AO68" s="1"/>
      <c r="AP68" s="1"/>
      <c r="AQ68" s="1"/>
      <c r="AR68" s="1"/>
      <c r="AY68"/>
      <c r="AZ68"/>
      <c r="BA68"/>
      <c r="BB68"/>
      <c r="BE68" s="1"/>
      <c r="BF68" s="1"/>
      <c r="BN68"/>
      <c r="BO68"/>
    </row>
    <row r="69" spans="1:67" hidden="1" x14ac:dyDescent="0.2">
      <c r="A69" s="256" t="str">
        <f t="shared" si="66"/>
        <v/>
      </c>
      <c r="B69" t="str">
        <f t="shared" si="67"/>
        <v/>
      </c>
      <c r="C69" t="str">
        <f t="shared" si="68"/>
        <v/>
      </c>
      <c r="D69" s="1">
        <f t="shared" si="69"/>
        <v>0</v>
      </c>
      <c r="E69" t="str">
        <f t="shared" si="70"/>
        <v/>
      </c>
      <c r="G69" s="1">
        <f t="shared" si="71"/>
        <v>0</v>
      </c>
      <c r="H69" s="1">
        <f t="shared" si="72"/>
        <v>1</v>
      </c>
      <c r="I69" s="1"/>
      <c r="J69" s="1">
        <f t="shared" si="73"/>
        <v>1900</v>
      </c>
      <c r="K69" s="32">
        <f t="shared" si="56"/>
        <v>19</v>
      </c>
      <c r="L69" s="32">
        <f t="shared" si="57"/>
        <v>9</v>
      </c>
      <c r="M69" s="32">
        <f t="shared" si="58"/>
        <v>119</v>
      </c>
      <c r="N69" s="1">
        <f t="shared" si="59"/>
        <v>119.80205479452054</v>
      </c>
      <c r="O69" s="1" t="str">
        <f t="shared" si="60"/>
        <v/>
      </c>
      <c r="P69" s="1" t="str">
        <f t="shared" si="61"/>
        <v/>
      </c>
      <c r="Q69" t="str">
        <f t="shared" si="74"/>
        <v/>
      </c>
      <c r="R69" s="1" t="str">
        <f t="shared" si="62"/>
        <v/>
      </c>
      <c r="T69" s="1" t="str">
        <f t="shared" si="63"/>
        <v/>
      </c>
      <c r="U69" s="1" t="str">
        <f t="shared" si="64"/>
        <v/>
      </c>
      <c r="V69" t="str">
        <f t="shared" si="75"/>
        <v/>
      </c>
      <c r="X69" t="str">
        <f t="shared" si="65"/>
        <v/>
      </c>
      <c r="Y69" t="str">
        <f t="shared" si="76"/>
        <v/>
      </c>
      <c r="AD69" s="27"/>
      <c r="AH69"/>
      <c r="AJ69"/>
      <c r="AK69"/>
      <c r="AL69"/>
      <c r="AN69"/>
      <c r="AO69" s="1"/>
      <c r="AP69" s="1"/>
      <c r="AQ69" s="1"/>
      <c r="AR69" s="1"/>
      <c r="AY69"/>
      <c r="AZ69"/>
      <c r="BA69"/>
      <c r="BB69"/>
      <c r="BE69" s="1"/>
      <c r="BF69" s="1"/>
      <c r="BN69"/>
      <c r="BO69"/>
    </row>
    <row r="70" spans="1:67" hidden="1" x14ac:dyDescent="0.2">
      <c r="A70" s="256" t="str">
        <f t="shared" si="66"/>
        <v/>
      </c>
      <c r="B70" t="str">
        <f t="shared" si="67"/>
        <v/>
      </c>
      <c r="C70" t="str">
        <f t="shared" si="68"/>
        <v/>
      </c>
      <c r="D70" s="1">
        <f t="shared" si="69"/>
        <v>0</v>
      </c>
      <c r="E70" t="str">
        <f t="shared" si="70"/>
        <v/>
      </c>
      <c r="G70" s="1">
        <f t="shared" si="71"/>
        <v>0</v>
      </c>
      <c r="H70" s="1">
        <f t="shared" si="72"/>
        <v>1</v>
      </c>
      <c r="I70" s="1"/>
      <c r="J70" s="1">
        <f t="shared" si="73"/>
        <v>1900</v>
      </c>
      <c r="K70" s="32">
        <f t="shared" si="56"/>
        <v>19</v>
      </c>
      <c r="L70" s="32">
        <f t="shared" si="57"/>
        <v>9</v>
      </c>
      <c r="M70" s="32">
        <f t="shared" si="58"/>
        <v>119</v>
      </c>
      <c r="N70" s="1">
        <f t="shared" si="59"/>
        <v>119.80205479452054</v>
      </c>
      <c r="O70" s="1" t="str">
        <f t="shared" si="60"/>
        <v/>
      </c>
      <c r="P70" s="1" t="str">
        <f t="shared" si="61"/>
        <v/>
      </c>
      <c r="Q70" t="str">
        <f t="shared" si="74"/>
        <v/>
      </c>
      <c r="R70" s="1" t="str">
        <f t="shared" si="62"/>
        <v/>
      </c>
      <c r="T70" s="1" t="str">
        <f t="shared" si="63"/>
        <v/>
      </c>
      <c r="U70" s="1" t="str">
        <f t="shared" si="64"/>
        <v/>
      </c>
      <c r="V70" t="str">
        <f t="shared" si="75"/>
        <v/>
      </c>
      <c r="X70" t="str">
        <f t="shared" si="65"/>
        <v/>
      </c>
      <c r="Y70" t="str">
        <f t="shared" si="76"/>
        <v/>
      </c>
      <c r="AD70" s="27"/>
      <c r="AH70"/>
      <c r="AJ70"/>
      <c r="AK70"/>
      <c r="AL70"/>
      <c r="AN70"/>
      <c r="AO70" s="1"/>
      <c r="AP70" s="1"/>
      <c r="AQ70" s="1"/>
      <c r="AR70" s="1"/>
      <c r="AY70"/>
      <c r="AZ70"/>
      <c r="BA70"/>
      <c r="BB70"/>
      <c r="BE70" s="1"/>
      <c r="BF70" s="1"/>
      <c r="BN70"/>
      <c r="BO70"/>
    </row>
    <row r="71" spans="1:67" hidden="1" x14ac:dyDescent="0.2">
      <c r="A71" s="256" t="str">
        <f t="shared" si="66"/>
        <v/>
      </c>
      <c r="B71" t="str">
        <f t="shared" si="67"/>
        <v/>
      </c>
      <c r="C71" t="str">
        <f t="shared" si="68"/>
        <v/>
      </c>
      <c r="D71" s="1">
        <f t="shared" si="69"/>
        <v>0</v>
      </c>
      <c r="E71" t="str">
        <f t="shared" si="70"/>
        <v/>
      </c>
      <c r="G71" s="1">
        <f t="shared" si="71"/>
        <v>0</v>
      </c>
      <c r="H71" s="1">
        <f t="shared" si="72"/>
        <v>1</v>
      </c>
      <c r="I71" s="1"/>
      <c r="J71" s="1">
        <f t="shared" si="73"/>
        <v>1900</v>
      </c>
      <c r="K71" s="32">
        <f t="shared" si="56"/>
        <v>19</v>
      </c>
      <c r="L71" s="32">
        <f t="shared" si="57"/>
        <v>9</v>
      </c>
      <c r="M71" s="32">
        <f t="shared" si="58"/>
        <v>119</v>
      </c>
      <c r="N71" s="1">
        <f t="shared" si="59"/>
        <v>119.80205479452054</v>
      </c>
      <c r="O71" s="1" t="str">
        <f t="shared" si="60"/>
        <v/>
      </c>
      <c r="P71" s="1" t="str">
        <f t="shared" si="61"/>
        <v/>
      </c>
      <c r="Q71" t="str">
        <f t="shared" si="74"/>
        <v/>
      </c>
      <c r="R71" s="1" t="str">
        <f t="shared" si="62"/>
        <v/>
      </c>
      <c r="T71" s="1" t="str">
        <f t="shared" si="63"/>
        <v/>
      </c>
      <c r="U71" s="1" t="str">
        <f t="shared" si="64"/>
        <v/>
      </c>
      <c r="V71" t="str">
        <f t="shared" si="75"/>
        <v/>
      </c>
      <c r="X71" t="str">
        <f t="shared" si="65"/>
        <v/>
      </c>
      <c r="Y71" t="str">
        <f t="shared" si="76"/>
        <v/>
      </c>
      <c r="AD71" s="27"/>
      <c r="AH71"/>
      <c r="AJ71"/>
      <c r="AK71"/>
      <c r="AL71"/>
      <c r="AN71"/>
      <c r="AO71" s="1"/>
      <c r="AP71" s="1"/>
      <c r="AQ71" s="1"/>
      <c r="AR71" s="1"/>
      <c r="AY71"/>
      <c r="AZ71"/>
      <c r="BA71"/>
      <c r="BB71"/>
      <c r="BE71" s="1"/>
      <c r="BF71" s="1"/>
      <c r="BN71"/>
      <c r="BO71"/>
    </row>
    <row r="72" spans="1:67" hidden="1" x14ac:dyDescent="0.2">
      <c r="A72" s="256" t="str">
        <f t="shared" si="66"/>
        <v/>
      </c>
      <c r="B72" t="str">
        <f t="shared" si="67"/>
        <v/>
      </c>
      <c r="C72" t="str">
        <f t="shared" si="68"/>
        <v/>
      </c>
      <c r="D72" s="1">
        <f t="shared" si="69"/>
        <v>0</v>
      </c>
      <c r="E72" t="str">
        <f t="shared" si="70"/>
        <v/>
      </c>
      <c r="G72" s="1">
        <f t="shared" si="71"/>
        <v>0</v>
      </c>
      <c r="H72" s="1">
        <f t="shared" si="72"/>
        <v>1</v>
      </c>
      <c r="I72" s="1"/>
      <c r="J72" s="1">
        <f t="shared" si="73"/>
        <v>1900</v>
      </c>
      <c r="K72" s="32">
        <f t="shared" si="56"/>
        <v>19</v>
      </c>
      <c r="L72" s="32">
        <f t="shared" si="57"/>
        <v>9</v>
      </c>
      <c r="M72" s="32">
        <f t="shared" si="58"/>
        <v>119</v>
      </c>
      <c r="N72" s="1">
        <f t="shared" si="59"/>
        <v>119.80205479452054</v>
      </c>
      <c r="O72" s="1" t="str">
        <f t="shared" si="60"/>
        <v/>
      </c>
      <c r="P72" s="1" t="str">
        <f t="shared" si="61"/>
        <v/>
      </c>
      <c r="Q72" t="str">
        <f t="shared" si="74"/>
        <v/>
      </c>
      <c r="R72" s="1" t="str">
        <f t="shared" si="62"/>
        <v/>
      </c>
      <c r="T72" s="1" t="str">
        <f t="shared" si="63"/>
        <v/>
      </c>
      <c r="U72" s="1" t="str">
        <f t="shared" si="64"/>
        <v/>
      </c>
      <c r="V72" t="str">
        <f t="shared" si="75"/>
        <v/>
      </c>
      <c r="X72" t="str">
        <f t="shared" si="65"/>
        <v/>
      </c>
      <c r="Y72" t="str">
        <f t="shared" si="76"/>
        <v/>
      </c>
      <c r="AD72" s="27"/>
      <c r="AH72"/>
      <c r="AJ72"/>
      <c r="AK72"/>
      <c r="AL72"/>
      <c r="AN72"/>
      <c r="AO72" s="1"/>
      <c r="AP72" s="1"/>
      <c r="AQ72" s="1"/>
      <c r="AR72" s="1"/>
      <c r="AY72"/>
      <c r="AZ72"/>
      <c r="BA72"/>
      <c r="BB72"/>
      <c r="BE72" s="1"/>
      <c r="BF72" s="1"/>
      <c r="BN72"/>
      <c r="BO72"/>
    </row>
    <row r="73" spans="1:67" hidden="1" x14ac:dyDescent="0.2">
      <c r="A73" s="256" t="str">
        <f t="shared" si="66"/>
        <v/>
      </c>
      <c r="B73" t="str">
        <f t="shared" si="67"/>
        <v/>
      </c>
      <c r="C73" t="str">
        <f t="shared" si="68"/>
        <v/>
      </c>
      <c r="D73" s="1">
        <f t="shared" si="69"/>
        <v>0</v>
      </c>
      <c r="E73" t="str">
        <f t="shared" si="70"/>
        <v/>
      </c>
      <c r="G73" s="1">
        <f t="shared" si="71"/>
        <v>0</v>
      </c>
      <c r="H73" s="1">
        <f t="shared" si="72"/>
        <v>1</v>
      </c>
      <c r="I73" s="1"/>
      <c r="J73" s="1">
        <f t="shared" si="73"/>
        <v>1900</v>
      </c>
      <c r="K73" s="32">
        <f t="shared" si="56"/>
        <v>19</v>
      </c>
      <c r="L73" s="32">
        <f t="shared" si="57"/>
        <v>9</v>
      </c>
      <c r="M73" s="32">
        <f t="shared" si="58"/>
        <v>119</v>
      </c>
      <c r="N73" s="1">
        <f t="shared" si="59"/>
        <v>119.80205479452054</v>
      </c>
      <c r="O73" s="1" t="str">
        <f t="shared" si="60"/>
        <v/>
      </c>
      <c r="P73" s="1" t="str">
        <f t="shared" si="61"/>
        <v/>
      </c>
      <c r="Q73" t="str">
        <f t="shared" si="74"/>
        <v/>
      </c>
      <c r="R73" s="1" t="str">
        <f t="shared" si="62"/>
        <v/>
      </c>
      <c r="T73" s="1" t="str">
        <f t="shared" si="63"/>
        <v/>
      </c>
      <c r="U73" s="1" t="str">
        <f t="shared" si="64"/>
        <v/>
      </c>
      <c r="V73" t="str">
        <f t="shared" si="75"/>
        <v/>
      </c>
      <c r="X73" t="str">
        <f t="shared" si="65"/>
        <v/>
      </c>
      <c r="Y73" t="str">
        <f t="shared" si="76"/>
        <v/>
      </c>
      <c r="AD73" s="27"/>
      <c r="AH73"/>
      <c r="AJ73"/>
      <c r="AK73"/>
      <c r="AL73"/>
      <c r="AN73"/>
      <c r="AO73" s="1"/>
      <c r="AP73" s="1"/>
      <c r="AQ73" s="1"/>
      <c r="AR73" s="1"/>
      <c r="AY73"/>
      <c r="AZ73"/>
      <c r="BA73"/>
      <c r="BB73"/>
      <c r="BE73" s="1"/>
      <c r="BF73" s="1"/>
      <c r="BN73"/>
      <c r="BO73"/>
    </row>
    <row r="74" spans="1:67" hidden="1" x14ac:dyDescent="0.2">
      <c r="A74" s="256" t="str">
        <f t="shared" si="66"/>
        <v/>
      </c>
      <c r="B74" t="str">
        <f t="shared" si="67"/>
        <v/>
      </c>
      <c r="C74" t="str">
        <f t="shared" si="68"/>
        <v/>
      </c>
      <c r="D74" s="1">
        <f t="shared" si="69"/>
        <v>0</v>
      </c>
      <c r="E74" t="str">
        <f t="shared" si="70"/>
        <v/>
      </c>
      <c r="G74" s="1">
        <f t="shared" si="71"/>
        <v>0</v>
      </c>
      <c r="H74" s="1">
        <f t="shared" si="72"/>
        <v>1</v>
      </c>
      <c r="I74" s="1"/>
      <c r="J74" s="1">
        <f t="shared" si="73"/>
        <v>1900</v>
      </c>
      <c r="K74" s="32">
        <f t="shared" si="56"/>
        <v>19</v>
      </c>
      <c r="L74" s="32">
        <f t="shared" si="57"/>
        <v>9</v>
      </c>
      <c r="M74" s="32">
        <f t="shared" si="58"/>
        <v>119</v>
      </c>
      <c r="N74" s="1">
        <f t="shared" si="59"/>
        <v>119.80205479452054</v>
      </c>
      <c r="O74" s="1" t="str">
        <f t="shared" si="60"/>
        <v/>
      </c>
      <c r="P74" s="1" t="str">
        <f t="shared" si="61"/>
        <v/>
      </c>
      <c r="Q74" t="str">
        <f t="shared" si="74"/>
        <v/>
      </c>
      <c r="R74" s="1" t="str">
        <f t="shared" si="62"/>
        <v/>
      </c>
      <c r="T74" s="1" t="str">
        <f t="shared" si="63"/>
        <v/>
      </c>
      <c r="U74" s="1" t="str">
        <f t="shared" si="64"/>
        <v/>
      </c>
      <c r="V74" t="str">
        <f t="shared" si="75"/>
        <v/>
      </c>
      <c r="X74" t="str">
        <f t="shared" si="65"/>
        <v/>
      </c>
      <c r="Y74" t="str">
        <f t="shared" si="76"/>
        <v/>
      </c>
      <c r="AD74" s="27"/>
      <c r="AH74"/>
      <c r="AJ74"/>
      <c r="AK74"/>
      <c r="AL74"/>
      <c r="AN74"/>
      <c r="AO74" s="1"/>
      <c r="AP74" s="1"/>
      <c r="AQ74" s="1"/>
      <c r="AR74" s="1"/>
      <c r="AY74"/>
      <c r="AZ74"/>
      <c r="BA74"/>
      <c r="BB74"/>
      <c r="BE74" s="1"/>
      <c r="BF74" s="1"/>
      <c r="BN74"/>
      <c r="BO74"/>
    </row>
    <row r="75" spans="1:67" hidden="1" x14ac:dyDescent="0.2">
      <c r="A75" s="256" t="str">
        <f t="shared" si="66"/>
        <v/>
      </c>
      <c r="B75" t="str">
        <f t="shared" si="67"/>
        <v/>
      </c>
      <c r="C75" t="str">
        <f t="shared" si="68"/>
        <v/>
      </c>
      <c r="D75" s="1">
        <f t="shared" si="69"/>
        <v>0</v>
      </c>
      <c r="E75" t="str">
        <f t="shared" si="70"/>
        <v/>
      </c>
      <c r="G75" s="1">
        <f t="shared" si="71"/>
        <v>0</v>
      </c>
      <c r="H75" s="1">
        <f t="shared" si="72"/>
        <v>1</v>
      </c>
      <c r="I75" s="1"/>
      <c r="J75" s="1">
        <f t="shared" si="73"/>
        <v>1900</v>
      </c>
      <c r="K75" s="32">
        <f t="shared" si="56"/>
        <v>19</v>
      </c>
      <c r="L75" s="32">
        <f t="shared" si="57"/>
        <v>9</v>
      </c>
      <c r="M75" s="32">
        <f t="shared" si="58"/>
        <v>119</v>
      </c>
      <c r="N75" s="1">
        <f t="shared" si="59"/>
        <v>119.80205479452054</v>
      </c>
      <c r="O75" s="1" t="str">
        <f t="shared" si="60"/>
        <v/>
      </c>
      <c r="P75" s="1" t="str">
        <f t="shared" si="61"/>
        <v/>
      </c>
      <c r="Q75" t="str">
        <f t="shared" si="74"/>
        <v/>
      </c>
      <c r="R75" s="1" t="str">
        <f t="shared" si="62"/>
        <v/>
      </c>
      <c r="T75" s="1" t="str">
        <f t="shared" si="63"/>
        <v/>
      </c>
      <c r="U75" s="1" t="str">
        <f t="shared" si="64"/>
        <v/>
      </c>
      <c r="V75" t="str">
        <f t="shared" si="75"/>
        <v/>
      </c>
      <c r="X75" t="str">
        <f t="shared" si="65"/>
        <v/>
      </c>
      <c r="Y75" t="str">
        <f t="shared" si="76"/>
        <v/>
      </c>
      <c r="AD75" s="27"/>
      <c r="AH75"/>
      <c r="AJ75"/>
      <c r="AK75"/>
      <c r="AL75"/>
      <c r="AN75"/>
      <c r="AO75" s="1"/>
      <c r="AP75" s="1"/>
      <c r="AQ75" s="1"/>
      <c r="AR75" s="1"/>
      <c r="AY75"/>
      <c r="AZ75"/>
      <c r="BA75"/>
      <c r="BB75"/>
      <c r="BE75" s="1"/>
      <c r="BF75" s="1"/>
      <c r="BN75"/>
      <c r="BO75"/>
    </row>
    <row r="76" spans="1:67" hidden="1" x14ac:dyDescent="0.2">
      <c r="A76" s="256" t="str">
        <f t="shared" si="66"/>
        <v/>
      </c>
      <c r="B76" t="str">
        <f t="shared" si="67"/>
        <v/>
      </c>
      <c r="C76" t="str">
        <f t="shared" si="68"/>
        <v/>
      </c>
      <c r="D76" s="1">
        <f t="shared" si="69"/>
        <v>0</v>
      </c>
      <c r="E76" t="str">
        <f t="shared" si="70"/>
        <v/>
      </c>
      <c r="G76" s="1">
        <f t="shared" si="71"/>
        <v>0</v>
      </c>
      <c r="H76" s="1">
        <f t="shared" si="72"/>
        <v>1</v>
      </c>
      <c r="I76" s="1"/>
      <c r="J76" s="1">
        <f t="shared" si="73"/>
        <v>1900</v>
      </c>
      <c r="K76" s="32">
        <f t="shared" si="56"/>
        <v>19</v>
      </c>
      <c r="L76" s="32">
        <f t="shared" si="57"/>
        <v>9</v>
      </c>
      <c r="M76" s="32">
        <f t="shared" si="58"/>
        <v>119</v>
      </c>
      <c r="N76" s="1">
        <f t="shared" si="59"/>
        <v>119.80205479452054</v>
      </c>
      <c r="O76" s="1" t="str">
        <f t="shared" si="60"/>
        <v/>
      </c>
      <c r="P76" s="1" t="str">
        <f t="shared" si="61"/>
        <v/>
      </c>
      <c r="Q76" t="str">
        <f t="shared" si="74"/>
        <v/>
      </c>
      <c r="R76" s="1" t="str">
        <f t="shared" si="62"/>
        <v/>
      </c>
      <c r="T76" s="1" t="str">
        <f t="shared" si="63"/>
        <v/>
      </c>
      <c r="U76" s="1" t="str">
        <f t="shared" si="64"/>
        <v/>
      </c>
      <c r="V76" t="str">
        <f t="shared" si="75"/>
        <v/>
      </c>
      <c r="X76" t="str">
        <f t="shared" si="65"/>
        <v/>
      </c>
      <c r="Y76" t="str">
        <f t="shared" si="76"/>
        <v/>
      </c>
      <c r="AD76" s="27"/>
      <c r="AH76"/>
      <c r="AJ76"/>
      <c r="AK76"/>
      <c r="AL76"/>
      <c r="AN76"/>
      <c r="AO76" s="1"/>
      <c r="AP76" s="1"/>
      <c r="AQ76" s="1"/>
      <c r="AR76" s="1"/>
      <c r="AY76"/>
      <c r="AZ76"/>
      <c r="BA76"/>
      <c r="BB76"/>
      <c r="BE76" s="1"/>
      <c r="BF76" s="1"/>
      <c r="BN76"/>
      <c r="BO76"/>
    </row>
    <row r="77" spans="1:67" hidden="1" x14ac:dyDescent="0.2">
      <c r="A77" s="256" t="str">
        <f t="shared" si="66"/>
        <v/>
      </c>
      <c r="B77" t="str">
        <f t="shared" si="67"/>
        <v/>
      </c>
      <c r="C77" t="str">
        <f t="shared" si="68"/>
        <v/>
      </c>
      <c r="D77" s="1">
        <f t="shared" si="69"/>
        <v>0</v>
      </c>
      <c r="E77" t="str">
        <f t="shared" si="70"/>
        <v/>
      </c>
      <c r="G77" s="1">
        <f t="shared" si="71"/>
        <v>0</v>
      </c>
      <c r="H77" s="1">
        <f t="shared" si="72"/>
        <v>1</v>
      </c>
      <c r="I77" s="1"/>
      <c r="J77" s="1">
        <f t="shared" si="73"/>
        <v>1900</v>
      </c>
      <c r="K77" s="32">
        <f t="shared" si="56"/>
        <v>19</v>
      </c>
      <c r="L77" s="32">
        <f t="shared" si="57"/>
        <v>9</v>
      </c>
      <c r="M77" s="32">
        <f t="shared" si="58"/>
        <v>119</v>
      </c>
      <c r="N77" s="1">
        <f t="shared" si="59"/>
        <v>119.80205479452054</v>
      </c>
      <c r="O77" s="1" t="str">
        <f t="shared" si="60"/>
        <v/>
      </c>
      <c r="P77" s="1" t="str">
        <f t="shared" si="61"/>
        <v/>
      </c>
      <c r="Q77" t="str">
        <f t="shared" si="74"/>
        <v/>
      </c>
      <c r="R77" s="1" t="str">
        <f t="shared" si="62"/>
        <v/>
      </c>
      <c r="T77" s="1" t="str">
        <f t="shared" si="63"/>
        <v/>
      </c>
      <c r="U77" s="1" t="str">
        <f t="shared" si="64"/>
        <v/>
      </c>
      <c r="V77" t="str">
        <f t="shared" si="75"/>
        <v/>
      </c>
      <c r="X77" t="str">
        <f t="shared" si="65"/>
        <v/>
      </c>
      <c r="Y77" t="str">
        <f t="shared" si="76"/>
        <v/>
      </c>
      <c r="AD77" s="27"/>
      <c r="AH77"/>
      <c r="AJ77"/>
      <c r="AK77"/>
      <c r="AL77"/>
      <c r="AN77"/>
      <c r="AO77" s="1"/>
      <c r="AP77" s="1"/>
      <c r="AQ77" s="1"/>
      <c r="AR77" s="1"/>
      <c r="AY77"/>
      <c r="AZ77"/>
      <c r="BA77"/>
      <c r="BB77"/>
      <c r="BE77" s="1"/>
      <c r="BF77" s="1"/>
      <c r="BN77"/>
      <c r="BO77"/>
    </row>
    <row r="78" spans="1:67" hidden="1" x14ac:dyDescent="0.2">
      <c r="A78" s="256" t="str">
        <f t="shared" si="66"/>
        <v/>
      </c>
      <c r="B78" t="str">
        <f t="shared" si="67"/>
        <v/>
      </c>
      <c r="C78" t="str">
        <f t="shared" si="68"/>
        <v/>
      </c>
      <c r="D78" s="1">
        <f t="shared" si="69"/>
        <v>0</v>
      </c>
      <c r="E78" t="str">
        <f t="shared" si="70"/>
        <v/>
      </c>
      <c r="G78" s="1">
        <f t="shared" si="71"/>
        <v>0</v>
      </c>
      <c r="H78" s="1">
        <f t="shared" si="72"/>
        <v>1</v>
      </c>
      <c r="I78" s="1"/>
      <c r="J78" s="1">
        <f t="shared" si="73"/>
        <v>1900</v>
      </c>
      <c r="K78" s="32">
        <f t="shared" si="56"/>
        <v>19</v>
      </c>
      <c r="L78" s="32">
        <f t="shared" si="57"/>
        <v>9</v>
      </c>
      <c r="M78" s="32">
        <f t="shared" si="58"/>
        <v>119</v>
      </c>
      <c r="N78" s="1">
        <f t="shared" si="59"/>
        <v>119.80205479452054</v>
      </c>
      <c r="O78" s="1" t="str">
        <f t="shared" si="60"/>
        <v/>
      </c>
      <c r="P78" s="1" t="str">
        <f t="shared" si="61"/>
        <v/>
      </c>
      <c r="Q78" t="str">
        <f t="shared" si="74"/>
        <v/>
      </c>
      <c r="R78" s="1" t="str">
        <f t="shared" si="62"/>
        <v/>
      </c>
      <c r="T78" s="1" t="str">
        <f t="shared" si="63"/>
        <v/>
      </c>
      <c r="U78" s="1" t="str">
        <f t="shared" si="64"/>
        <v/>
      </c>
      <c r="V78" t="str">
        <f t="shared" si="75"/>
        <v/>
      </c>
      <c r="X78" t="str">
        <f t="shared" si="65"/>
        <v/>
      </c>
      <c r="Y78" t="str">
        <f t="shared" si="76"/>
        <v/>
      </c>
      <c r="AB78">
        <f>SUM(AB82:AB102)</f>
        <v>0</v>
      </c>
      <c r="AD78" s="27"/>
      <c r="AH78"/>
      <c r="AJ78"/>
      <c r="AK78"/>
      <c r="AL78"/>
      <c r="AN78"/>
      <c r="AO78" s="1"/>
      <c r="AP78" s="1"/>
      <c r="AQ78" s="1"/>
      <c r="AR78" s="1"/>
      <c r="AY78"/>
      <c r="AZ78"/>
      <c r="BA78"/>
      <c r="BB78"/>
      <c r="BE78" s="1"/>
      <c r="BF78" s="1"/>
      <c r="BN78"/>
      <c r="BO78"/>
    </row>
    <row r="79" spans="1:67" hidden="1" x14ac:dyDescent="0.2">
      <c r="A79" s="256" t="str">
        <f t="shared" si="66"/>
        <v/>
      </c>
      <c r="B79" t="str">
        <f t="shared" si="67"/>
        <v/>
      </c>
      <c r="C79" t="str">
        <f t="shared" si="68"/>
        <v/>
      </c>
      <c r="D79" s="1">
        <f t="shared" si="69"/>
        <v>0</v>
      </c>
      <c r="E79" t="str">
        <f t="shared" si="70"/>
        <v/>
      </c>
      <c r="G79" s="1">
        <f t="shared" si="71"/>
        <v>0</v>
      </c>
      <c r="H79" s="1">
        <f t="shared" si="72"/>
        <v>1</v>
      </c>
      <c r="I79" s="1"/>
      <c r="J79" s="1">
        <f t="shared" si="73"/>
        <v>1900</v>
      </c>
      <c r="K79" s="32">
        <f t="shared" si="56"/>
        <v>19</v>
      </c>
      <c r="L79" s="32">
        <f t="shared" si="57"/>
        <v>9</v>
      </c>
      <c r="M79" s="32">
        <f t="shared" si="58"/>
        <v>119</v>
      </c>
      <c r="N79" s="1">
        <f t="shared" si="59"/>
        <v>119.80205479452054</v>
      </c>
      <c r="O79" s="1" t="str">
        <f t="shared" si="60"/>
        <v/>
      </c>
      <c r="P79" s="1" t="str">
        <f t="shared" si="61"/>
        <v/>
      </c>
      <c r="Q79" t="str">
        <f t="shared" si="74"/>
        <v/>
      </c>
      <c r="R79" s="1" t="str">
        <f t="shared" si="62"/>
        <v/>
      </c>
      <c r="T79" s="1" t="str">
        <f t="shared" si="63"/>
        <v/>
      </c>
      <c r="U79" s="1" t="str">
        <f t="shared" si="64"/>
        <v/>
      </c>
      <c r="V79" t="str">
        <f t="shared" si="75"/>
        <v/>
      </c>
      <c r="X79" t="str">
        <f t="shared" si="65"/>
        <v/>
      </c>
      <c r="Y79" t="str">
        <f t="shared" si="76"/>
        <v/>
      </c>
      <c r="AD79" s="27"/>
      <c r="AH79"/>
      <c r="AJ79"/>
      <c r="AK79"/>
      <c r="AL79"/>
      <c r="AN79"/>
      <c r="AO79" s="1"/>
      <c r="AP79" s="1"/>
      <c r="AQ79" s="1"/>
      <c r="AR79" s="1"/>
      <c r="AY79"/>
      <c r="AZ79"/>
      <c r="BA79"/>
      <c r="BB79"/>
      <c r="BE79" s="1"/>
      <c r="BF79" s="1"/>
      <c r="BN79"/>
      <c r="BO79"/>
    </row>
    <row r="80" spans="1:67" hidden="1" x14ac:dyDescent="0.2">
      <c r="A80" s="256" t="str">
        <f t="shared" si="66"/>
        <v/>
      </c>
      <c r="B80" t="str">
        <f t="shared" si="67"/>
        <v/>
      </c>
      <c r="C80" t="str">
        <f t="shared" si="68"/>
        <v/>
      </c>
      <c r="D80" s="1">
        <f t="shared" si="69"/>
        <v>0</v>
      </c>
      <c r="E80" t="str">
        <f t="shared" si="70"/>
        <v/>
      </c>
      <c r="G80" s="1">
        <f t="shared" si="71"/>
        <v>0</v>
      </c>
      <c r="H80" s="1">
        <f t="shared" si="72"/>
        <v>1</v>
      </c>
      <c r="I80" s="1"/>
      <c r="J80" s="1">
        <f t="shared" si="73"/>
        <v>1900</v>
      </c>
      <c r="K80" s="32">
        <f t="shared" si="56"/>
        <v>19</v>
      </c>
      <c r="L80" s="32">
        <f t="shared" si="57"/>
        <v>9</v>
      </c>
      <c r="M80" s="32">
        <f t="shared" si="58"/>
        <v>119</v>
      </c>
      <c r="N80" s="1">
        <f t="shared" si="59"/>
        <v>119.80205479452054</v>
      </c>
      <c r="O80" s="1" t="str">
        <f t="shared" si="60"/>
        <v/>
      </c>
      <c r="P80" s="1" t="str">
        <f t="shared" si="61"/>
        <v/>
      </c>
      <c r="Q80" t="str">
        <f t="shared" si="74"/>
        <v/>
      </c>
      <c r="R80" s="1" t="str">
        <f t="shared" si="62"/>
        <v/>
      </c>
      <c r="T80" s="1" t="str">
        <f t="shared" si="63"/>
        <v/>
      </c>
      <c r="U80" s="1" t="str">
        <f t="shared" si="64"/>
        <v/>
      </c>
      <c r="V80" t="str">
        <f t="shared" si="75"/>
        <v/>
      </c>
      <c r="X80" t="str">
        <f t="shared" si="65"/>
        <v/>
      </c>
      <c r="Y80" t="str">
        <f t="shared" si="76"/>
        <v/>
      </c>
      <c r="Z80" t="s">
        <v>136</v>
      </c>
      <c r="AA80" t="str">
        <f>CONCATENATE(AA85,AA87,AA88,AA89,AA90,AA91,AA92,AA93,AA94,AA95,AA96,AA97,AA98,AA99,AA100,AA101,AA102)</f>
        <v/>
      </c>
      <c r="AD80" s="27"/>
      <c r="AH80"/>
      <c r="AJ80"/>
      <c r="AK80"/>
      <c r="AL80"/>
      <c r="AN80"/>
      <c r="AO80" s="1"/>
      <c r="AP80" s="1"/>
      <c r="AQ80" s="1"/>
      <c r="AR80" s="1"/>
      <c r="AY80"/>
      <c r="AZ80"/>
      <c r="BA80"/>
      <c r="BB80"/>
      <c r="BE80" s="1"/>
      <c r="BF80" s="1"/>
      <c r="BN80"/>
      <c r="BO80"/>
    </row>
    <row r="81" spans="1:67" hidden="1" x14ac:dyDescent="0.2">
      <c r="A81" s="256" t="str">
        <f t="shared" si="66"/>
        <v/>
      </c>
      <c r="B81" t="str">
        <f t="shared" si="67"/>
        <v/>
      </c>
      <c r="C81" t="str">
        <f t="shared" si="68"/>
        <v/>
      </c>
      <c r="D81" s="1">
        <f t="shared" si="69"/>
        <v>0</v>
      </c>
      <c r="E81" t="str">
        <f t="shared" si="70"/>
        <v/>
      </c>
      <c r="G81" s="1">
        <f t="shared" si="71"/>
        <v>0</v>
      </c>
      <c r="H81" s="1">
        <f t="shared" si="72"/>
        <v>1</v>
      </c>
      <c r="I81" s="1"/>
      <c r="J81" s="1">
        <f t="shared" si="73"/>
        <v>1900</v>
      </c>
      <c r="K81" s="32">
        <f t="shared" si="56"/>
        <v>19</v>
      </c>
      <c r="L81" s="32">
        <f t="shared" si="57"/>
        <v>9</v>
      </c>
      <c r="M81" s="32">
        <f t="shared" si="58"/>
        <v>119</v>
      </c>
      <c r="N81" s="1">
        <f t="shared" si="59"/>
        <v>119.80205479452054</v>
      </c>
      <c r="O81" s="1" t="str">
        <f t="shared" si="60"/>
        <v/>
      </c>
      <c r="P81" s="1" t="str">
        <f t="shared" si="61"/>
        <v/>
      </c>
      <c r="Q81" t="str">
        <f t="shared" si="74"/>
        <v/>
      </c>
      <c r="R81" s="1" t="str">
        <f t="shared" si="62"/>
        <v/>
      </c>
      <c r="T81" s="1" t="str">
        <f t="shared" si="63"/>
        <v/>
      </c>
      <c r="U81" s="1" t="str">
        <f t="shared" si="64"/>
        <v/>
      </c>
      <c r="V81" t="str">
        <f t="shared" si="75"/>
        <v/>
      </c>
      <c r="X81" t="str">
        <f t="shared" si="65"/>
        <v/>
      </c>
      <c r="Y81" t="str">
        <f t="shared" si="76"/>
        <v/>
      </c>
      <c r="AD81" s="27"/>
      <c r="AH81"/>
      <c r="AJ81"/>
      <c r="AK81"/>
      <c r="AL81"/>
      <c r="AN81"/>
      <c r="AO81" s="1"/>
      <c r="AP81" s="1"/>
      <c r="AQ81" s="1"/>
      <c r="AR81" s="1"/>
      <c r="AY81"/>
      <c r="AZ81"/>
      <c r="BA81"/>
      <c r="BB81"/>
      <c r="BE81" s="1"/>
      <c r="BF81" s="1"/>
      <c r="BN81"/>
      <c r="BO81"/>
    </row>
    <row r="82" spans="1:67" hidden="1" x14ac:dyDescent="0.2">
      <c r="A82" s="256" t="str">
        <f t="shared" si="66"/>
        <v/>
      </c>
      <c r="B82" t="str">
        <f t="shared" si="67"/>
        <v/>
      </c>
      <c r="C82" t="str">
        <f t="shared" si="68"/>
        <v/>
      </c>
      <c r="D82" s="1">
        <f t="shared" si="69"/>
        <v>0</v>
      </c>
      <c r="E82" t="str">
        <f t="shared" si="70"/>
        <v/>
      </c>
      <c r="G82" s="1">
        <f t="shared" si="71"/>
        <v>0</v>
      </c>
      <c r="H82" s="1">
        <f t="shared" si="72"/>
        <v>1</v>
      </c>
      <c r="I82" s="1"/>
      <c r="J82" s="1">
        <f t="shared" si="73"/>
        <v>1900</v>
      </c>
      <c r="K82" s="32">
        <f t="shared" si="56"/>
        <v>19</v>
      </c>
      <c r="L82" s="32">
        <f t="shared" si="57"/>
        <v>9</v>
      </c>
      <c r="M82" s="32">
        <f t="shared" si="58"/>
        <v>119</v>
      </c>
      <c r="N82" s="1">
        <f t="shared" si="59"/>
        <v>119.80205479452054</v>
      </c>
      <c r="O82" s="1" t="str">
        <f t="shared" si="60"/>
        <v/>
      </c>
      <c r="P82" s="1" t="str">
        <f t="shared" si="61"/>
        <v/>
      </c>
      <c r="Q82" t="str">
        <f t="shared" si="74"/>
        <v/>
      </c>
      <c r="R82" s="1" t="str">
        <f t="shared" si="62"/>
        <v/>
      </c>
      <c r="T82" s="1" t="str">
        <f t="shared" si="63"/>
        <v/>
      </c>
      <c r="U82" s="1" t="str">
        <f t="shared" si="64"/>
        <v/>
      </c>
      <c r="V82" t="str">
        <f t="shared" si="75"/>
        <v/>
      </c>
      <c r="X82" t="str">
        <f t="shared" si="65"/>
        <v/>
      </c>
      <c r="Y82" t="str">
        <f t="shared" si="76"/>
        <v/>
      </c>
      <c r="AD82" s="27"/>
      <c r="AH82"/>
      <c r="AJ82"/>
      <c r="AK82"/>
      <c r="AL82"/>
      <c r="AN82"/>
      <c r="AO82" s="1"/>
      <c r="AP82" s="1"/>
      <c r="AQ82" s="1"/>
      <c r="AR82" s="1"/>
      <c r="AY82"/>
      <c r="AZ82"/>
      <c r="BA82"/>
      <c r="BB82"/>
      <c r="BE82" s="1"/>
      <c r="BF82" s="1"/>
      <c r="BN82"/>
      <c r="BO82"/>
    </row>
    <row r="83" spans="1:67" hidden="1" x14ac:dyDescent="0.2">
      <c r="A83" s="256" t="str">
        <f t="shared" si="66"/>
        <v/>
      </c>
      <c r="B83" t="str">
        <f t="shared" si="67"/>
        <v/>
      </c>
      <c r="C83" t="str">
        <f t="shared" si="68"/>
        <v/>
      </c>
      <c r="D83" s="1">
        <f t="shared" si="69"/>
        <v>0</v>
      </c>
      <c r="E83" t="str">
        <f t="shared" si="70"/>
        <v/>
      </c>
      <c r="G83" s="1">
        <f t="shared" si="71"/>
        <v>0</v>
      </c>
      <c r="H83" s="1">
        <f t="shared" si="72"/>
        <v>1</v>
      </c>
      <c r="I83" s="1"/>
      <c r="J83" s="1">
        <f t="shared" si="73"/>
        <v>1900</v>
      </c>
      <c r="K83" s="32">
        <f t="shared" si="56"/>
        <v>19</v>
      </c>
      <c r="L83" s="32">
        <f t="shared" si="57"/>
        <v>9</v>
      </c>
      <c r="M83" s="32">
        <f t="shared" si="58"/>
        <v>119</v>
      </c>
      <c r="N83" s="1">
        <f t="shared" si="59"/>
        <v>119.80205479452054</v>
      </c>
      <c r="O83" s="1" t="str">
        <f t="shared" si="60"/>
        <v/>
      </c>
      <c r="P83" s="1" t="str">
        <f t="shared" si="61"/>
        <v/>
      </c>
      <c r="Q83" t="str">
        <f t="shared" si="74"/>
        <v/>
      </c>
      <c r="R83" s="1" t="str">
        <f t="shared" si="62"/>
        <v/>
      </c>
      <c r="T83" s="1" t="str">
        <f t="shared" si="63"/>
        <v/>
      </c>
      <c r="U83" s="1" t="str">
        <f t="shared" si="64"/>
        <v/>
      </c>
      <c r="V83" t="str">
        <f t="shared" si="75"/>
        <v/>
      </c>
      <c r="X83" t="str">
        <f t="shared" si="65"/>
        <v/>
      </c>
      <c r="Y83" t="str">
        <f t="shared" si="76"/>
        <v/>
      </c>
      <c r="AD83" s="27"/>
      <c r="AH83"/>
      <c r="AJ83"/>
      <c r="AK83"/>
      <c r="AL83"/>
      <c r="AN83"/>
      <c r="AO83" s="1"/>
      <c r="AP83" s="1"/>
      <c r="AQ83" s="1"/>
      <c r="AR83" s="1"/>
      <c r="AY83"/>
      <c r="AZ83"/>
      <c r="BA83"/>
      <c r="BB83"/>
      <c r="BE83" s="1"/>
      <c r="BF83" s="1"/>
      <c r="BN83"/>
      <c r="BO83"/>
    </row>
    <row r="84" spans="1:67" ht="13.5" hidden="1" thickBot="1" x14ac:dyDescent="0.25">
      <c r="A84" s="256" t="str">
        <f t="shared" si="66"/>
        <v/>
      </c>
      <c r="B84" t="str">
        <f t="shared" si="67"/>
        <v/>
      </c>
      <c r="C84" t="str">
        <f t="shared" si="68"/>
        <v/>
      </c>
      <c r="D84" s="1">
        <f t="shared" si="69"/>
        <v>0</v>
      </c>
      <c r="E84" t="str">
        <f t="shared" si="70"/>
        <v/>
      </c>
      <c r="G84" s="1">
        <f t="shared" si="71"/>
        <v>0</v>
      </c>
      <c r="H84" s="1">
        <f t="shared" si="72"/>
        <v>1</v>
      </c>
      <c r="I84" s="1"/>
      <c r="J84" s="1">
        <f t="shared" si="73"/>
        <v>1900</v>
      </c>
      <c r="K84" s="32">
        <f t="shared" si="56"/>
        <v>19</v>
      </c>
      <c r="L84" s="32">
        <f t="shared" si="57"/>
        <v>9</v>
      </c>
      <c r="M84" s="32">
        <f t="shared" si="58"/>
        <v>119</v>
      </c>
      <c r="N84" s="1">
        <f t="shared" si="59"/>
        <v>119.80205479452054</v>
      </c>
      <c r="O84" s="1" t="str">
        <f t="shared" si="60"/>
        <v/>
      </c>
      <c r="P84" s="1" t="str">
        <f t="shared" si="61"/>
        <v/>
      </c>
      <c r="Q84" t="str">
        <f t="shared" si="74"/>
        <v/>
      </c>
      <c r="R84" s="1" t="str">
        <f t="shared" si="62"/>
        <v/>
      </c>
      <c r="T84" s="1" t="str">
        <f t="shared" si="63"/>
        <v/>
      </c>
      <c r="U84" s="1" t="str">
        <f t="shared" si="64"/>
        <v/>
      </c>
      <c r="V84" t="str">
        <f t="shared" si="75"/>
        <v/>
      </c>
      <c r="X84" t="str">
        <f t="shared" si="65"/>
        <v/>
      </c>
      <c r="Y84" t="str">
        <f t="shared" si="76"/>
        <v/>
      </c>
      <c r="Z84" t="s">
        <v>129</v>
      </c>
      <c r="AA84" s="326" t="s">
        <v>306</v>
      </c>
      <c r="AD84" s="27"/>
      <c r="AH84"/>
      <c r="AJ84"/>
      <c r="AK84"/>
      <c r="AL84"/>
      <c r="AN84"/>
      <c r="AO84" s="1"/>
      <c r="AP84" s="1"/>
      <c r="AQ84" s="1"/>
      <c r="AR84" s="1"/>
      <c r="AY84"/>
      <c r="AZ84"/>
      <c r="BA84"/>
      <c r="BB84"/>
      <c r="BE84" s="1"/>
      <c r="BF84" s="1"/>
      <c r="BN84"/>
      <c r="BO84"/>
    </row>
    <row r="85" spans="1:67" ht="13.5" hidden="1" thickBot="1" x14ac:dyDescent="0.25">
      <c r="H85" s="499" t="s">
        <v>131</v>
      </c>
      <c r="I85" s="500"/>
      <c r="J85" s="501"/>
      <c r="K85" s="501"/>
      <c r="L85" s="501"/>
      <c r="M85" s="501"/>
      <c r="N85" s="501"/>
      <c r="O85" s="501"/>
      <c r="P85" s="111">
        <f>SUM(P58:P82)</f>
        <v>0</v>
      </c>
      <c r="Q85" s="112">
        <f>SUM(Q58:Q82)</f>
        <v>0</v>
      </c>
      <c r="R85" s="98">
        <f>SUM(R58:R82)</f>
        <v>0</v>
      </c>
      <c r="S85" s="112">
        <f>T85+U85</f>
        <v>0</v>
      </c>
      <c r="T85" s="98">
        <f>SUM(T58:T82)</f>
        <v>0</v>
      </c>
      <c r="U85" s="99">
        <f>SUM(U58:U82)</f>
        <v>0</v>
      </c>
      <c r="V85" s="113">
        <f>SUM(P85,R85,T85:U85)</f>
        <v>0</v>
      </c>
      <c r="W85" s="386"/>
      <c r="Y85" s="115" t="s">
        <v>138</v>
      </c>
      <c r="Z85" s="114" t="str">
        <f>IF(COUNTBLANK(D10)=0,CHOOSE(D10,12,8,20,12,9),"")</f>
        <v/>
      </c>
      <c r="AA85" s="327" t="str">
        <f>IF(V85&gt;Z85,"Team too big. ","")</f>
        <v/>
      </c>
      <c r="AB85" s="114">
        <f>IF(COUNTBLANK(AA85)=0,1,0)</f>
        <v>0</v>
      </c>
      <c r="AD85" s="27"/>
      <c r="AH85"/>
      <c r="AJ85"/>
      <c r="AK85"/>
      <c r="AL85"/>
      <c r="AN85"/>
      <c r="AO85" s="1"/>
      <c r="AP85" s="1"/>
      <c r="AQ85" s="1"/>
      <c r="AR85" s="1"/>
      <c r="AY85"/>
      <c r="AZ85"/>
      <c r="BA85"/>
      <c r="BB85"/>
      <c r="BE85" s="1"/>
      <c r="BF85" s="1"/>
      <c r="BN85"/>
      <c r="BO85"/>
    </row>
    <row r="86" spans="1:67" hidden="1" x14ac:dyDescent="0.2">
      <c r="AA86" s="328"/>
      <c r="AB86" s="114">
        <f t="shared" ref="AB86:AB102" si="77">IF(COUNTBLANK(AA86)=0,1,0)</f>
        <v>0</v>
      </c>
      <c r="AD86" s="27"/>
      <c r="AH86"/>
      <c r="AJ86"/>
      <c r="AK86"/>
      <c r="AL86"/>
      <c r="AN86"/>
      <c r="AO86" s="1"/>
      <c r="AP86" s="1"/>
      <c r="AQ86" s="1"/>
      <c r="AR86" s="1"/>
      <c r="AY86"/>
      <c r="AZ86"/>
      <c r="BA86"/>
      <c r="BB86"/>
      <c r="BE86" s="1"/>
      <c r="BF86" s="1"/>
      <c r="BN86"/>
      <c r="BO86"/>
    </row>
    <row r="87" spans="1:67" hidden="1" x14ac:dyDescent="0.2">
      <c r="Y87" s="115" t="s">
        <v>137</v>
      </c>
      <c r="Z87" s="1" t="s">
        <v>139</v>
      </c>
      <c r="AA87" s="327" t="str">
        <f>IF( OR( AND(D10=5,T85&gt;3),AND(D10=4,S85&gt;3), AND(D10=3,S85&gt;5),AND(D10=2,S85&gt;2),(AND(D10=1,S85&gt;3))),"Too many Over 18s; ","")</f>
        <v/>
      </c>
      <c r="AB87" s="114">
        <f t="shared" si="77"/>
        <v>0</v>
      </c>
      <c r="AD87" s="27"/>
      <c r="AH87"/>
      <c r="AJ87"/>
      <c r="AK87"/>
      <c r="AL87"/>
      <c r="AN87"/>
      <c r="AO87" s="1"/>
      <c r="AP87" s="1"/>
      <c r="AQ87" s="1"/>
      <c r="AR87" s="1"/>
      <c r="AY87"/>
      <c r="AZ87"/>
      <c r="BA87"/>
      <c r="BB87"/>
      <c r="BE87" s="1"/>
      <c r="BF87" s="1"/>
      <c r="BN87"/>
      <c r="BO87"/>
    </row>
    <row r="88" spans="1:67" hidden="1" x14ac:dyDescent="0.2">
      <c r="Y88" s="115" t="s">
        <v>140</v>
      </c>
      <c r="Z88" s="1" t="s">
        <v>141</v>
      </c>
      <c r="AA88" s="329" t="str">
        <f>IF(AND(D10=5,U85&gt;3),"Too many Over 25s; ","")</f>
        <v/>
      </c>
      <c r="AB88" s="114">
        <f t="shared" si="77"/>
        <v>0</v>
      </c>
      <c r="AD88" s="27"/>
      <c r="AH88"/>
      <c r="AJ88"/>
      <c r="AK88"/>
      <c r="AL88"/>
      <c r="AN88"/>
      <c r="AO88" s="1"/>
      <c r="AP88" s="1"/>
      <c r="AQ88" s="1"/>
      <c r="AR88" s="1"/>
      <c r="AY88"/>
      <c r="AZ88"/>
      <c r="BA88"/>
      <c r="BB88"/>
      <c r="BE88" s="1"/>
      <c r="BF88" s="1"/>
      <c r="BN88"/>
      <c r="BO88"/>
    </row>
    <row r="89" spans="1:67" hidden="1" x14ac:dyDescent="0.2">
      <c r="Y89" s="115" t="s">
        <v>143</v>
      </c>
      <c r="Z89" t="s">
        <v>142</v>
      </c>
      <c r="AA89" s="329" t="str">
        <f>IF(AND(D$10=1,(P$85+R$85)&gt;9),"Too many young members; ","")</f>
        <v/>
      </c>
      <c r="AB89" s="114">
        <f t="shared" si="77"/>
        <v>0</v>
      </c>
      <c r="AD89" s="27"/>
      <c r="AH89"/>
      <c r="AJ89"/>
      <c r="AK89"/>
      <c r="AL89"/>
      <c r="AN89"/>
      <c r="AO89" s="1"/>
      <c r="AP89" s="1"/>
      <c r="AQ89" s="1"/>
      <c r="AR89" s="1"/>
      <c r="AY89"/>
      <c r="AZ89"/>
      <c r="BA89"/>
      <c r="BB89"/>
      <c r="BE89" s="1"/>
      <c r="BF89" s="1"/>
      <c r="BN89"/>
      <c r="BO89"/>
    </row>
    <row r="90" spans="1:67" hidden="1" x14ac:dyDescent="0.2">
      <c r="Y90" s="115" t="s">
        <v>144</v>
      </c>
      <c r="Z90" t="s">
        <v>142</v>
      </c>
      <c r="AA90" s="329" t="str">
        <f>IF(AND(D$10=1,(R$85)&gt;2),"Too many Over 14s; ","")</f>
        <v/>
      </c>
      <c r="AB90" s="114">
        <f t="shared" si="77"/>
        <v>0</v>
      </c>
      <c r="AD90" s="27"/>
      <c r="AH90"/>
      <c r="AJ90"/>
      <c r="AK90"/>
      <c r="AL90"/>
      <c r="AN90"/>
      <c r="AO90" s="1"/>
      <c r="AP90" s="1"/>
      <c r="AQ90" s="1"/>
      <c r="AR90" s="1"/>
      <c r="AY90"/>
      <c r="AZ90"/>
      <c r="BA90"/>
      <c r="BB90"/>
      <c r="BE90" s="1"/>
      <c r="BF90" s="1"/>
      <c r="BN90"/>
      <c r="BO90"/>
    </row>
    <row r="91" spans="1:67" hidden="1" x14ac:dyDescent="0.2">
      <c r="Y91" s="115" t="s">
        <v>144</v>
      </c>
      <c r="Z91" t="s">
        <v>145</v>
      </c>
      <c r="AA91" s="329" t="str">
        <f>IF(AND(D$10=2,(R$85)&gt;6),"Too many Explorers; ","")</f>
        <v/>
      </c>
      <c r="AB91" s="114">
        <f t="shared" si="77"/>
        <v>0</v>
      </c>
      <c r="AD91" s="27"/>
      <c r="AH91"/>
      <c r="AJ91"/>
      <c r="AK91"/>
      <c r="AL91"/>
      <c r="AN91"/>
      <c r="AO91" s="1"/>
      <c r="AP91" s="1"/>
      <c r="AQ91" s="1"/>
      <c r="AR91" s="1"/>
      <c r="AY91"/>
      <c r="AZ91"/>
      <c r="BA91"/>
      <c r="BB91"/>
      <c r="BE91" s="1"/>
      <c r="BF91" s="1"/>
      <c r="BN91"/>
      <c r="BO91"/>
    </row>
    <row r="92" spans="1:67" hidden="1" x14ac:dyDescent="0.2">
      <c r="Y92" s="115" t="s">
        <v>146</v>
      </c>
      <c r="Z92" t="s">
        <v>145</v>
      </c>
      <c r="AA92" s="329" t="str">
        <f>IF(AND(D$10=2,(SUM(Q$85:R$85))&gt;6),"Too many Explorers; ","")</f>
        <v/>
      </c>
      <c r="AB92" s="114">
        <f t="shared" si="77"/>
        <v>0</v>
      </c>
      <c r="AD92" s="27"/>
      <c r="AH92"/>
      <c r="AJ92"/>
      <c r="AK92"/>
      <c r="AL92"/>
      <c r="AN92"/>
      <c r="AO92" s="1"/>
      <c r="AP92" s="1"/>
      <c r="AQ92" s="1"/>
      <c r="AR92" s="1"/>
      <c r="AY92"/>
      <c r="AZ92"/>
      <c r="BA92"/>
      <c r="BB92"/>
      <c r="BE92" s="1"/>
      <c r="BF92" s="1"/>
      <c r="BN92"/>
      <c r="BO92"/>
    </row>
    <row r="93" spans="1:67" hidden="1" x14ac:dyDescent="0.2">
      <c r="Y93" s="115" t="s">
        <v>143</v>
      </c>
      <c r="Z93" t="s">
        <v>147</v>
      </c>
      <c r="AA93" s="329" t="str">
        <f>IF(AND(D$10=3,(P$85+R$85)&gt;15),"Too many young members; ","")</f>
        <v/>
      </c>
      <c r="AB93" s="114">
        <f t="shared" si="77"/>
        <v>0</v>
      </c>
      <c r="AD93" s="27"/>
      <c r="AH93"/>
      <c r="AJ93"/>
      <c r="AK93"/>
      <c r="AL93"/>
      <c r="AN93"/>
      <c r="AO93" s="1"/>
      <c r="AP93" s="1"/>
      <c r="AQ93" s="1"/>
      <c r="AR93" s="1"/>
      <c r="AY93"/>
      <c r="AZ93"/>
      <c r="BA93"/>
      <c r="BB93"/>
      <c r="BE93" s="1"/>
      <c r="BF93" s="1"/>
      <c r="BN93"/>
      <c r="BO93"/>
    </row>
    <row r="94" spans="1:67" hidden="1" x14ac:dyDescent="0.2">
      <c r="Y94" s="115" t="s">
        <v>144</v>
      </c>
      <c r="Z94" t="s">
        <v>147</v>
      </c>
      <c r="AA94" s="329" t="str">
        <f>IF(AND(D$10=3,(R$85)&gt;8),"Too many Over 14s; ","")</f>
        <v/>
      </c>
      <c r="AB94" s="114">
        <f t="shared" si="77"/>
        <v>0</v>
      </c>
      <c r="AD94" s="27"/>
      <c r="AH94"/>
      <c r="AJ94"/>
      <c r="AK94"/>
      <c r="AL94"/>
      <c r="AN94"/>
      <c r="AO94" s="1"/>
      <c r="AP94" s="1"/>
      <c r="AQ94" s="1"/>
      <c r="AR94" s="1"/>
      <c r="AY94"/>
      <c r="AZ94"/>
      <c r="BA94"/>
      <c r="BB94"/>
      <c r="BE94" s="1"/>
      <c r="BF94" s="1"/>
      <c r="BN94"/>
      <c r="BO94"/>
    </row>
    <row r="95" spans="1:67" hidden="1" x14ac:dyDescent="0.2">
      <c r="Y95" s="115" t="s">
        <v>148</v>
      </c>
      <c r="Z95" t="s">
        <v>147</v>
      </c>
      <c r="AA95" s="329" t="str">
        <f>IF(AND(D$10=3,(P$85)&gt;9),"Too many Under 14s; ","")</f>
        <v/>
      </c>
      <c r="AB95" s="114">
        <f t="shared" si="77"/>
        <v>0</v>
      </c>
      <c r="AD95" s="27"/>
      <c r="AH95"/>
      <c r="AJ95"/>
      <c r="AK95"/>
      <c r="AL95"/>
      <c r="AN95"/>
      <c r="AO95" s="1"/>
      <c r="AP95" s="1"/>
      <c r="AQ95" s="1"/>
      <c r="AR95" s="1"/>
      <c r="AY95"/>
      <c r="AZ95"/>
      <c r="BA95"/>
      <c r="BB95"/>
      <c r="BE95" s="1"/>
      <c r="BF95" s="1"/>
      <c r="BN95"/>
      <c r="BO95"/>
    </row>
    <row r="96" spans="1:67" hidden="1" x14ac:dyDescent="0.2">
      <c r="Y96" s="115" t="s">
        <v>143</v>
      </c>
      <c r="Z96" t="s">
        <v>149</v>
      </c>
      <c r="AA96" s="329" t="str">
        <f>IF(AND(D$10=4,(Q$85+R$85)&gt;9),"Too many young members; ","")</f>
        <v/>
      </c>
      <c r="AB96" s="114">
        <f t="shared" si="77"/>
        <v>0</v>
      </c>
      <c r="AD96" s="27"/>
      <c r="AH96"/>
      <c r="AJ96"/>
      <c r="AK96"/>
      <c r="AL96"/>
      <c r="AN96"/>
      <c r="AO96" s="1"/>
      <c r="AP96" s="1"/>
      <c r="AQ96" s="1"/>
      <c r="AR96" s="1"/>
      <c r="AY96"/>
      <c r="AZ96"/>
      <c r="BA96"/>
      <c r="BB96"/>
      <c r="BE96" s="1"/>
      <c r="BF96" s="1"/>
      <c r="BN96"/>
      <c r="BO96"/>
    </row>
    <row r="97" spans="1:67" hidden="1" x14ac:dyDescent="0.2">
      <c r="Y97" s="115" t="s">
        <v>150</v>
      </c>
      <c r="Z97" t="s">
        <v>149</v>
      </c>
      <c r="AA97" s="329" t="str">
        <f>IF(AND(D$10=4,(P$85-Q$85)&gt;0),"Members must be at least 13.5 yrs; ","")</f>
        <v/>
      </c>
      <c r="AB97" s="114">
        <f t="shared" si="77"/>
        <v>0</v>
      </c>
      <c r="AD97" s="27"/>
      <c r="AH97"/>
      <c r="AJ97"/>
      <c r="AK97"/>
      <c r="AL97"/>
      <c r="AN97"/>
      <c r="AO97" s="1"/>
      <c r="AP97" s="1"/>
      <c r="AQ97" s="1"/>
      <c r="AR97" s="1"/>
      <c r="AY97"/>
      <c r="AZ97"/>
      <c r="BA97"/>
      <c r="BB97"/>
      <c r="BE97" s="1"/>
      <c r="BF97" s="1"/>
      <c r="BN97"/>
      <c r="BO97"/>
    </row>
    <row r="98" spans="1:67" hidden="1" x14ac:dyDescent="0.2">
      <c r="Y98" s="115" t="s">
        <v>143</v>
      </c>
      <c r="Z98" t="s">
        <v>151</v>
      </c>
      <c r="AA98" s="329" t="str">
        <f>IF(AND(D$10=5,(Q$85+R$85)&gt;3),"Too many young members; ","")</f>
        <v/>
      </c>
      <c r="AB98" s="114">
        <f t="shared" si="77"/>
        <v>0</v>
      </c>
      <c r="AD98" s="27"/>
      <c r="AH98"/>
      <c r="AJ98"/>
      <c r="AK98"/>
      <c r="AL98"/>
      <c r="AN98"/>
      <c r="AO98" s="1"/>
      <c r="AP98" s="1"/>
      <c r="AQ98" s="1"/>
      <c r="AR98" s="1"/>
      <c r="AY98"/>
      <c r="AZ98"/>
      <c r="BA98"/>
      <c r="BB98"/>
      <c r="BE98" s="1"/>
      <c r="BF98" s="1"/>
      <c r="BN98"/>
      <c r="BO98"/>
    </row>
    <row r="99" spans="1:67" hidden="1" x14ac:dyDescent="0.2">
      <c r="Y99" s="115" t="s">
        <v>150</v>
      </c>
      <c r="Z99" t="s">
        <v>151</v>
      </c>
      <c r="AA99" s="329" t="str">
        <f>IF(AND(D$10=5,(P$85-Q$85)&gt;0),"Members must be at least 13.5 yrs; ","")</f>
        <v/>
      </c>
      <c r="AB99" s="114">
        <f t="shared" si="77"/>
        <v>0</v>
      </c>
      <c r="AD99" s="27"/>
      <c r="AH99"/>
      <c r="AJ99"/>
      <c r="AK99"/>
      <c r="AL99"/>
      <c r="AN99"/>
      <c r="AO99" s="1"/>
      <c r="AP99" s="1"/>
      <c r="AQ99" s="1"/>
      <c r="AR99" s="1"/>
      <c r="AY99"/>
      <c r="AZ99"/>
      <c r="BA99"/>
      <c r="BB99"/>
      <c r="BE99" s="1"/>
      <c r="BF99" s="1"/>
      <c r="BN99"/>
      <c r="BO99"/>
    </row>
    <row r="100" spans="1:67" hidden="1" x14ac:dyDescent="0.2">
      <c r="X100" t="s">
        <v>152</v>
      </c>
      <c r="AA100" s="329"/>
      <c r="AB100" s="114">
        <f t="shared" si="77"/>
        <v>0</v>
      </c>
      <c r="AD100" s="27"/>
      <c r="AH100"/>
      <c r="AJ100"/>
      <c r="AK100"/>
      <c r="AL100"/>
      <c r="AN100"/>
      <c r="AO100" s="1"/>
      <c r="AP100" s="1"/>
      <c r="AQ100" s="1"/>
      <c r="AR100" s="1"/>
      <c r="AY100"/>
      <c r="AZ100"/>
      <c r="BA100"/>
      <c r="BB100"/>
      <c r="BE100" s="1"/>
      <c r="BF100" s="1"/>
      <c r="BN100"/>
      <c r="BO100"/>
    </row>
    <row r="101" spans="1:67" hidden="1" x14ac:dyDescent="0.2">
      <c r="X101" t="s">
        <v>152</v>
      </c>
      <c r="AA101" s="329"/>
      <c r="AB101" s="114">
        <f t="shared" si="77"/>
        <v>0</v>
      </c>
      <c r="AD101" s="27"/>
      <c r="AH101"/>
      <c r="AJ101"/>
      <c r="AK101"/>
      <c r="AL101"/>
      <c r="AN101"/>
      <c r="AO101" s="1"/>
      <c r="AP101" s="1"/>
      <c r="AQ101" s="1"/>
      <c r="AR101" s="1"/>
      <c r="AY101"/>
      <c r="AZ101"/>
      <c r="BA101"/>
      <c r="BB101"/>
      <c r="BE101" s="1"/>
      <c r="BF101" s="1"/>
      <c r="BN101"/>
      <c r="BO101"/>
    </row>
    <row r="102" spans="1:67" hidden="1" x14ac:dyDescent="0.2">
      <c r="X102" t="s">
        <v>152</v>
      </c>
      <c r="AA102" s="330"/>
      <c r="AB102" s="114">
        <f t="shared" si="77"/>
        <v>0</v>
      </c>
      <c r="AD102" s="27"/>
      <c r="AH102"/>
      <c r="AJ102"/>
      <c r="AK102"/>
      <c r="AL102"/>
      <c r="AN102"/>
      <c r="AO102" s="1"/>
      <c r="AP102" s="1"/>
      <c r="AQ102" s="1"/>
      <c r="AR102" s="1"/>
      <c r="AY102"/>
      <c r="AZ102"/>
      <c r="BA102"/>
      <c r="BB102"/>
      <c r="BE102" s="1"/>
      <c r="BF102" s="1"/>
      <c r="BN102"/>
      <c r="BO102"/>
    </row>
    <row r="103" spans="1:67" hidden="1" x14ac:dyDescent="0.2">
      <c r="AD103" s="27"/>
      <c r="AH103"/>
      <c r="AJ103"/>
      <c r="AK103"/>
      <c r="AL103"/>
      <c r="AN103"/>
      <c r="AO103" s="1"/>
      <c r="AP103" s="1"/>
      <c r="AQ103" s="1"/>
      <c r="AR103" s="1"/>
      <c r="AY103"/>
      <c r="AZ103"/>
      <c r="BA103"/>
      <c r="BB103"/>
      <c r="BE103" s="1"/>
      <c r="BF103" s="1"/>
      <c r="BN103"/>
      <c r="BO103"/>
    </row>
    <row r="104" spans="1:67" hidden="1" x14ac:dyDescent="0.2">
      <c r="AD104" s="27"/>
      <c r="AH104"/>
      <c r="AJ104"/>
      <c r="AK104"/>
      <c r="AL104"/>
      <c r="AN104"/>
      <c r="AO104" s="1"/>
      <c r="AP104" s="1"/>
      <c r="AQ104" s="1"/>
      <c r="AR104" s="1"/>
      <c r="AY104"/>
      <c r="AZ104"/>
      <c r="BA104"/>
      <c r="BB104"/>
      <c r="BE104" s="1"/>
      <c r="BF104" s="1"/>
      <c r="BN104"/>
      <c r="BO104"/>
    </row>
    <row r="105" spans="1:67" ht="13.5" hidden="1" thickBot="1" x14ac:dyDescent="0.25">
      <c r="AD105" s="27"/>
      <c r="AH105"/>
      <c r="AJ105"/>
      <c r="AK105"/>
      <c r="AL105"/>
      <c r="AN105"/>
      <c r="AO105" s="1"/>
      <c r="AP105" s="1"/>
      <c r="AQ105" s="1"/>
      <c r="AR105" s="1"/>
      <c r="AY105"/>
      <c r="AZ105"/>
      <c r="BA105"/>
      <c r="BB105"/>
      <c r="BE105" s="1"/>
      <c r="BF105" s="1"/>
      <c r="BN105"/>
      <c r="BO105"/>
    </row>
    <row r="106" spans="1:67" hidden="1" x14ac:dyDescent="0.2">
      <c r="A106" s="257"/>
      <c r="B106" s="35"/>
      <c r="C106" s="35"/>
      <c r="D106" s="35"/>
      <c r="E106" s="35"/>
      <c r="F106" s="35"/>
      <c r="G106" s="35"/>
      <c r="H106" s="35"/>
      <c r="I106" s="35"/>
      <c r="J106" s="35"/>
      <c r="K106" s="35"/>
      <c r="L106" s="35"/>
      <c r="M106" s="35"/>
      <c r="N106" s="35"/>
      <c r="O106" s="35"/>
      <c r="P106" s="35"/>
      <c r="Q106" s="35"/>
      <c r="R106" s="35"/>
      <c r="S106" s="35"/>
      <c r="T106" s="35"/>
      <c r="U106" s="35"/>
      <c r="V106" s="35"/>
      <c r="W106" s="35"/>
      <c r="X106" s="36"/>
      <c r="AD106" s="27"/>
      <c r="AH106"/>
      <c r="AJ106"/>
      <c r="AK106"/>
      <c r="AL106"/>
      <c r="AN106"/>
      <c r="AO106" s="1"/>
      <c r="AP106" s="1"/>
      <c r="AQ106" s="1"/>
      <c r="AR106" s="1"/>
      <c r="AY106"/>
      <c r="AZ106"/>
      <c r="BA106"/>
      <c r="BB106"/>
      <c r="BE106" s="1"/>
      <c r="BF106" s="1"/>
      <c r="BN106"/>
      <c r="BO106"/>
    </row>
    <row r="107" spans="1:67" hidden="1" x14ac:dyDescent="0.2">
      <c r="A107" s="258" t="s">
        <v>200</v>
      </c>
      <c r="B107" s="9"/>
      <c r="C107" s="9"/>
      <c r="D107" s="9"/>
      <c r="E107" s="9"/>
      <c r="F107" s="9"/>
      <c r="G107" s="9"/>
      <c r="H107" s="9"/>
      <c r="I107" s="9"/>
      <c r="J107" s="9"/>
      <c r="K107" s="9"/>
      <c r="L107" s="9"/>
      <c r="M107" s="9"/>
      <c r="N107" s="9"/>
      <c r="O107" s="9"/>
      <c r="P107" s="9"/>
      <c r="Q107" s="9"/>
      <c r="R107" s="9"/>
      <c r="S107" s="9"/>
      <c r="T107" s="9"/>
      <c r="U107" s="9"/>
      <c r="V107" s="9"/>
      <c r="W107" s="9"/>
      <c r="X107" s="37"/>
      <c r="AD107" s="27"/>
      <c r="AH107"/>
      <c r="AJ107"/>
      <c r="AK107"/>
      <c r="AL107"/>
      <c r="AN107"/>
      <c r="AO107" s="1"/>
      <c r="AP107" s="1"/>
      <c r="AQ107" s="1"/>
      <c r="AR107" s="1"/>
      <c r="AY107"/>
      <c r="AZ107"/>
      <c r="BA107"/>
      <c r="BB107"/>
      <c r="BE107" s="1"/>
      <c r="BF107" s="1"/>
      <c r="BN107"/>
      <c r="BO107"/>
    </row>
    <row r="108" spans="1:67" ht="27.75" hidden="1" customHeight="1" x14ac:dyDescent="0.2">
      <c r="A108" s="259"/>
      <c r="B108" s="9" t="s">
        <v>201</v>
      </c>
      <c r="C108" s="9" t="s">
        <v>202</v>
      </c>
      <c r="D108" s="9"/>
      <c r="E108" s="9"/>
      <c r="F108" s="9"/>
      <c r="G108" s="9"/>
      <c r="H108" s="9"/>
      <c r="I108" s="9"/>
      <c r="J108" s="9"/>
      <c r="K108" s="9"/>
      <c r="L108" s="9"/>
      <c r="M108" s="9"/>
      <c r="N108" s="9"/>
      <c r="O108" s="9"/>
      <c r="P108" s="9"/>
      <c r="Q108" s="9"/>
      <c r="R108" s="9"/>
      <c r="S108" s="9"/>
      <c r="T108" s="9"/>
      <c r="U108" s="9"/>
      <c r="V108" s="9"/>
      <c r="W108" s="9"/>
      <c r="X108" s="37"/>
      <c r="AD108" s="27"/>
      <c r="AH108"/>
      <c r="AJ108"/>
      <c r="AK108"/>
      <c r="AL108"/>
      <c r="AN108"/>
      <c r="AO108" s="1"/>
      <c r="AP108" s="1"/>
      <c r="AQ108" s="1"/>
      <c r="AR108" s="1"/>
      <c r="AY108"/>
      <c r="AZ108"/>
      <c r="BA108"/>
      <c r="BB108"/>
      <c r="BE108" s="1"/>
      <c r="BF108" s="1"/>
      <c r="BN108"/>
      <c r="BO108"/>
    </row>
    <row r="109" spans="1:67" hidden="1" x14ac:dyDescent="0.2">
      <c r="A109" s="259"/>
      <c r="B109" s="9"/>
      <c r="C109" s="140" t="s">
        <v>208</v>
      </c>
      <c r="D109" s="9"/>
      <c r="E109" s="9"/>
      <c r="F109" s="9"/>
      <c r="G109" s="9"/>
      <c r="H109" s="9"/>
      <c r="I109" s="9"/>
      <c r="J109" s="9"/>
      <c r="K109" s="9"/>
      <c r="L109" s="9"/>
      <c r="M109" s="9"/>
      <c r="N109" s="9"/>
      <c r="O109" s="9"/>
      <c r="P109" s="9"/>
      <c r="Q109" s="9"/>
      <c r="R109" s="9"/>
      <c r="S109" s="9"/>
      <c r="T109" s="9"/>
      <c r="U109" s="9"/>
      <c r="V109" s="9"/>
      <c r="W109" s="9"/>
      <c r="X109" s="37"/>
      <c r="AD109" s="27"/>
      <c r="AH109"/>
      <c r="AJ109"/>
      <c r="AK109"/>
      <c r="AL109"/>
      <c r="AN109"/>
      <c r="AO109" s="1"/>
      <c r="AP109" s="1"/>
      <c r="AQ109" s="1"/>
      <c r="AR109" s="1"/>
      <c r="AY109"/>
      <c r="AZ109"/>
      <c r="BA109"/>
      <c r="BB109"/>
      <c r="BE109" s="1"/>
      <c r="BF109" s="1"/>
      <c r="BN109"/>
      <c r="BO109"/>
    </row>
    <row r="110" spans="1:67" ht="25.5" hidden="1" x14ac:dyDescent="0.25">
      <c r="A110" s="259"/>
      <c r="B110" s="9"/>
      <c r="C110" s="9"/>
      <c r="D110" s="141" t="s">
        <v>123</v>
      </c>
      <c r="E110" s="141" t="s">
        <v>127</v>
      </c>
      <c r="F110" s="141"/>
      <c r="G110" s="141" t="s">
        <v>203</v>
      </c>
      <c r="H110" s="141" t="s">
        <v>204</v>
      </c>
      <c r="I110" s="141"/>
      <c r="J110" s="141" t="s">
        <v>205</v>
      </c>
      <c r="K110" s="148" t="s">
        <v>209</v>
      </c>
      <c r="L110" s="148" t="s">
        <v>210</v>
      </c>
      <c r="M110" s="148" t="s">
        <v>212</v>
      </c>
      <c r="N110" s="141"/>
      <c r="O110" s="150" t="s">
        <v>209</v>
      </c>
      <c r="P110" s="150" t="s">
        <v>210</v>
      </c>
      <c r="Q110" s="150" t="s">
        <v>211</v>
      </c>
      <c r="R110" s="165" t="s">
        <v>222</v>
      </c>
      <c r="S110" s="166"/>
      <c r="T110" s="166"/>
      <c r="U110" s="9"/>
      <c r="V110" s="9"/>
      <c r="W110" s="9"/>
      <c r="X110" s="37"/>
      <c r="Y110" s="9"/>
      <c r="Z110" s="141"/>
      <c r="AD110" s="27"/>
      <c r="AH110"/>
      <c r="AJ110"/>
      <c r="AK110"/>
      <c r="AL110"/>
      <c r="AN110"/>
      <c r="AO110" s="1"/>
      <c r="AP110" s="1"/>
      <c r="AQ110" s="1"/>
      <c r="AR110" s="1"/>
      <c r="AY110"/>
      <c r="AZ110"/>
      <c r="BA110"/>
      <c r="BB110"/>
      <c r="BE110" s="1"/>
      <c r="BF110" s="1"/>
      <c r="BN110"/>
      <c r="BO110"/>
    </row>
    <row r="111" spans="1:67" ht="14.25" hidden="1" thickBot="1" x14ac:dyDescent="0.3">
      <c r="A111" s="259"/>
      <c r="B111" s="9"/>
      <c r="C111" s="9"/>
      <c r="D111" s="9"/>
      <c r="E111" s="9"/>
      <c r="F111" s="9"/>
      <c r="G111" s="141" t="s">
        <v>206</v>
      </c>
      <c r="H111" s="141"/>
      <c r="I111" s="141"/>
      <c r="J111" s="141" t="s">
        <v>207</v>
      </c>
      <c r="K111" s="145"/>
      <c r="L111" s="145"/>
      <c r="M111" s="145"/>
      <c r="N111" s="9"/>
      <c r="O111" s="151"/>
      <c r="P111" s="151"/>
      <c r="Q111" s="151"/>
      <c r="R111" s="166"/>
      <c r="S111" s="166"/>
      <c r="T111" s="166"/>
      <c r="U111" s="9"/>
      <c r="V111" s="9"/>
      <c r="W111" s="9"/>
      <c r="X111" s="37"/>
      <c r="Y111" s="9"/>
      <c r="Z111" s="9"/>
      <c r="AA111" s="9"/>
      <c r="AD111" s="27"/>
      <c r="AH111"/>
      <c r="AJ111"/>
      <c r="AK111"/>
      <c r="AL111"/>
      <c r="AN111"/>
      <c r="AO111" s="1"/>
      <c r="AP111" s="1"/>
      <c r="AQ111" s="1"/>
      <c r="AR111" s="1"/>
      <c r="AY111"/>
      <c r="AZ111"/>
      <c r="BA111"/>
      <c r="BB111"/>
      <c r="BE111" s="1"/>
      <c r="BF111" s="1"/>
      <c r="BN111"/>
      <c r="BO111"/>
    </row>
    <row r="112" spans="1:67" ht="13.5" hidden="1" x14ac:dyDescent="0.25">
      <c r="A112" s="259"/>
      <c r="B112" s="134" t="str">
        <f t="shared" ref="B112:B138" si="78">IF(COUNTBLANK(U17)=1,"",B17)</f>
        <v/>
      </c>
      <c r="C112" s="135" t="str">
        <f t="shared" ref="C112:C138" si="79">IF(COUNTBLANK(U17)=1,"",C17)</f>
        <v/>
      </c>
      <c r="D112" s="139" t="str">
        <f t="shared" ref="D112:D138" si="80">IF(COUNTBLANK(U17)=1,"",PROPER(S17))</f>
        <v/>
      </c>
      <c r="E112" s="139" t="str">
        <f t="shared" ref="E112:E138" si="81">IF(COUNTBLANK(U17)=1,"",PROPER(U17))</f>
        <v/>
      </c>
      <c r="F112" s="139"/>
      <c r="G112" s="139">
        <f t="shared" ref="G112:G138" si="82">IF(COUNTBLANK(U17)=0,COUNTIF(E$112:E$138,E112),0)</f>
        <v>0</v>
      </c>
      <c r="H112" s="139" t="str">
        <f t="shared" ref="H112:H138" si="83">IF(AND(COUNTBLANK(B112:C112)=0,D112="Open"),E112,"")</f>
        <v/>
      </c>
      <c r="I112" s="139"/>
      <c r="J112" s="139">
        <f t="shared" ref="J112:J138" si="84">IF(AND(COUNTBLANK(H112)=0,COUNTBLANK(U17)=0),COUNTIF(H$112:H$138,H112),0)</f>
        <v>0</v>
      </c>
      <c r="K112" s="143" t="str">
        <f>IF(G112&gt;3,CONCATENATE("Too many members in ",E112," 3-P Team; "),"")</f>
        <v/>
      </c>
      <c r="L112" s="147" t="b">
        <f>IF(G112&gt;3,TRUE,FALSE)</f>
        <v>0</v>
      </c>
      <c r="M112" s="145" t="str">
        <f t="shared" ref="M112:M138" si="85">IF(L112,K112,"")</f>
        <v/>
      </c>
      <c r="N112" s="9"/>
      <c r="O112" s="151" t="str">
        <f t="shared" ref="O112:O138" si="86">IF(J112&gt;2,CONCATENATE("More than 2 Open shooters in ",H112," 3-P Team; "),"")</f>
        <v/>
      </c>
      <c r="P112" s="152" t="b">
        <f>IF(J112&gt;2,TRUE,FALSE)</f>
        <v>0</v>
      </c>
      <c r="Q112" s="151" t="str">
        <f t="shared" ref="Q112:Q138" si="87">IF(P112,O112,"")</f>
        <v/>
      </c>
      <c r="R112" s="166" t="str">
        <f t="shared" ref="R112:R138" si="88">IF(AND(G112&gt;0,G112&lt;3),CONCATENATE(E112," has too few members; "),"")</f>
        <v/>
      </c>
      <c r="S112" s="166" t="b">
        <f>IF(AND(G112&gt;0,G112&lt;3),TRUE,FALSE)</f>
        <v>0</v>
      </c>
      <c r="T112" s="166" t="str">
        <f t="shared" ref="T112:T138" si="89">IF(S112,R112,"")</f>
        <v/>
      </c>
      <c r="U112" s="9"/>
      <c r="V112" s="9"/>
      <c r="W112" s="9"/>
      <c r="X112" s="37"/>
      <c r="Y112" s="9"/>
      <c r="Z112" s="9"/>
      <c r="AD112" s="27"/>
      <c r="AH112"/>
      <c r="AJ112"/>
      <c r="AK112"/>
      <c r="AL112"/>
      <c r="AN112"/>
      <c r="AO112" s="1"/>
      <c r="AP112" s="1"/>
      <c r="AQ112" s="1"/>
      <c r="AR112" s="1"/>
      <c r="AY112"/>
      <c r="AZ112"/>
      <c r="BA112"/>
      <c r="BB112"/>
      <c r="BE112" s="1"/>
      <c r="BF112" s="1"/>
      <c r="BN112"/>
      <c r="BO112"/>
    </row>
    <row r="113" spans="1:67" ht="13.5" hidden="1" x14ac:dyDescent="0.25">
      <c r="A113" s="259"/>
      <c r="B113" s="136" t="str">
        <f t="shared" si="78"/>
        <v/>
      </c>
      <c r="C113" s="133" t="str">
        <f t="shared" si="79"/>
        <v/>
      </c>
      <c r="D113" s="128" t="str">
        <f t="shared" si="80"/>
        <v/>
      </c>
      <c r="E113" s="128" t="str">
        <f t="shared" si="81"/>
        <v/>
      </c>
      <c r="F113" s="128"/>
      <c r="G113" s="128">
        <f t="shared" si="82"/>
        <v>0</v>
      </c>
      <c r="H113" s="128" t="str">
        <f t="shared" si="83"/>
        <v/>
      </c>
      <c r="I113" s="128"/>
      <c r="J113" s="128">
        <f t="shared" si="84"/>
        <v>0</v>
      </c>
      <c r="K113" s="146" t="str">
        <f>IF(G113&gt;3,CONCATENATE("Too many members in ",E113," 3-P Team; "),"")</f>
        <v/>
      </c>
      <c r="L113" s="145" t="b">
        <f>IF(G113&gt;3,(ISERROR(VLOOKUP(K113,K$112:K112,1,FALSE))),FALSE)</f>
        <v>0</v>
      </c>
      <c r="M113" s="145" t="str">
        <f t="shared" si="85"/>
        <v/>
      </c>
      <c r="N113" s="9"/>
      <c r="O113" s="151" t="str">
        <f t="shared" si="86"/>
        <v/>
      </c>
      <c r="P113" s="151" t="b">
        <f>IF(J113&gt;2,(ISERROR(VLOOKUP(O113,O$112:O112,1,FALSE))),FALSE)</f>
        <v>0</v>
      </c>
      <c r="Q113" s="151" t="str">
        <f t="shared" si="87"/>
        <v/>
      </c>
      <c r="R113" s="166" t="str">
        <f t="shared" si="88"/>
        <v/>
      </c>
      <c r="S113" s="166" t="b">
        <f>IF(AND(G113&gt;0,G113&lt;3),(ISERROR(VLOOKUP(R113,R$112:R112,1,FALSE))),FALSE)</f>
        <v>0</v>
      </c>
      <c r="T113" s="166" t="str">
        <f t="shared" si="89"/>
        <v/>
      </c>
      <c r="U113" s="9"/>
      <c r="V113" s="9"/>
      <c r="W113" s="9"/>
      <c r="X113" s="37"/>
      <c r="Y113" s="9"/>
      <c r="Z113" s="9"/>
      <c r="AD113" s="27"/>
      <c r="AH113"/>
      <c r="AJ113"/>
      <c r="AK113"/>
      <c r="AL113"/>
      <c r="AN113"/>
      <c r="AO113" s="1"/>
      <c r="AP113" s="1"/>
      <c r="AQ113" s="1"/>
      <c r="AR113" s="1"/>
      <c r="AY113"/>
      <c r="AZ113"/>
      <c r="BA113"/>
      <c r="BB113"/>
      <c r="BE113" s="1"/>
      <c r="BF113" s="1"/>
      <c r="BN113"/>
      <c r="BO113"/>
    </row>
    <row r="114" spans="1:67" ht="13.5" hidden="1" x14ac:dyDescent="0.25">
      <c r="A114" s="259"/>
      <c r="B114" s="136" t="str">
        <f t="shared" si="78"/>
        <v/>
      </c>
      <c r="C114" s="133" t="str">
        <f t="shared" si="79"/>
        <v/>
      </c>
      <c r="D114" s="128" t="str">
        <f t="shared" si="80"/>
        <v/>
      </c>
      <c r="E114" s="128" t="str">
        <f t="shared" si="81"/>
        <v/>
      </c>
      <c r="F114" s="128"/>
      <c r="G114" s="128">
        <f t="shared" si="82"/>
        <v>0</v>
      </c>
      <c r="H114" s="128" t="str">
        <f t="shared" si="83"/>
        <v/>
      </c>
      <c r="I114" s="128"/>
      <c r="J114" s="128">
        <f t="shared" si="84"/>
        <v>0</v>
      </c>
      <c r="K114" s="146" t="str">
        <f t="shared" ref="K114:K138" si="90">IF(G114&gt;3,CONCATENATE("Too many members in ",E114," 3-P Team; "),"")</f>
        <v/>
      </c>
      <c r="L114" s="145" t="b">
        <f>IF(G114&gt;3,(ISERROR(VLOOKUP(K114,K$112:K113,1,FALSE))),FALSE)</f>
        <v>0</v>
      </c>
      <c r="M114" s="145" t="str">
        <f t="shared" si="85"/>
        <v/>
      </c>
      <c r="N114" s="9"/>
      <c r="O114" s="151" t="str">
        <f t="shared" si="86"/>
        <v/>
      </c>
      <c r="P114" s="151" t="b">
        <f>IF(J114&gt;2,(ISERROR(VLOOKUP(O114,O$112:O113,1,FALSE))),FALSE)</f>
        <v>0</v>
      </c>
      <c r="Q114" s="151" t="str">
        <f t="shared" si="87"/>
        <v/>
      </c>
      <c r="R114" s="166" t="str">
        <f t="shared" si="88"/>
        <v/>
      </c>
      <c r="S114" s="166" t="b">
        <f>IF(AND(G114&gt;0,G114&lt;3),(ISERROR(VLOOKUP(R114,R$112:R113,1,FALSE))),FALSE)</f>
        <v>0</v>
      </c>
      <c r="T114" s="166" t="str">
        <f t="shared" si="89"/>
        <v/>
      </c>
      <c r="U114" s="9"/>
      <c r="V114" s="9"/>
      <c r="W114" s="9"/>
      <c r="X114" s="37"/>
      <c r="Y114" s="9"/>
      <c r="Z114" s="9"/>
      <c r="AD114" s="27"/>
      <c r="AH114"/>
      <c r="AJ114"/>
      <c r="AK114"/>
      <c r="AL114"/>
      <c r="AN114"/>
      <c r="AO114" s="1"/>
      <c r="AP114" s="1"/>
      <c r="AQ114" s="1"/>
      <c r="AR114" s="1"/>
      <c r="AY114"/>
      <c r="AZ114"/>
      <c r="BA114"/>
      <c r="BB114"/>
      <c r="BE114" s="1"/>
      <c r="BF114" s="1"/>
      <c r="BN114"/>
      <c r="BO114"/>
    </row>
    <row r="115" spans="1:67" ht="13.5" hidden="1" x14ac:dyDescent="0.25">
      <c r="A115" s="259"/>
      <c r="B115" s="136" t="str">
        <f t="shared" si="78"/>
        <v/>
      </c>
      <c r="C115" s="133" t="str">
        <f t="shared" si="79"/>
        <v/>
      </c>
      <c r="D115" s="128" t="str">
        <f t="shared" si="80"/>
        <v/>
      </c>
      <c r="E115" s="128" t="str">
        <f t="shared" si="81"/>
        <v/>
      </c>
      <c r="F115" s="128"/>
      <c r="G115" s="128">
        <f t="shared" si="82"/>
        <v>0</v>
      </c>
      <c r="H115" s="128" t="str">
        <f t="shared" si="83"/>
        <v/>
      </c>
      <c r="I115" s="128"/>
      <c r="J115" s="128">
        <f t="shared" si="84"/>
        <v>0</v>
      </c>
      <c r="K115" s="146" t="str">
        <f>IF(G115&gt;3,CONCATENATE("Too many members in ",E115," 3-P Team; "),"")</f>
        <v/>
      </c>
      <c r="L115" s="145" t="b">
        <f>IF(G115&gt;3,(ISERROR(VLOOKUP(K115,K$112:K114,1,FALSE))),FALSE)</f>
        <v>0</v>
      </c>
      <c r="M115" s="145" t="str">
        <f t="shared" si="85"/>
        <v/>
      </c>
      <c r="N115" s="9"/>
      <c r="O115" s="151" t="str">
        <f t="shared" si="86"/>
        <v/>
      </c>
      <c r="P115" s="151" t="b">
        <f>IF(J115&gt;2,(ISERROR(VLOOKUP(O115,O$112:O114,1,FALSE))),FALSE)</f>
        <v>0</v>
      </c>
      <c r="Q115" s="151" t="str">
        <f t="shared" si="87"/>
        <v/>
      </c>
      <c r="R115" s="166" t="str">
        <f t="shared" si="88"/>
        <v/>
      </c>
      <c r="S115" s="166" t="b">
        <f>IF(AND(G115&gt;0,G115&lt;3),(ISERROR(VLOOKUP(R115,R$112:R114,1,FALSE))),FALSE)</f>
        <v>0</v>
      </c>
      <c r="T115" s="166" t="str">
        <f t="shared" si="89"/>
        <v/>
      </c>
      <c r="U115" s="9"/>
      <c r="V115" s="9"/>
      <c r="W115" s="9"/>
      <c r="X115" s="37"/>
      <c r="Y115" s="9"/>
      <c r="Z115" s="9"/>
      <c r="AD115" s="27"/>
      <c r="AH115"/>
      <c r="AJ115"/>
      <c r="AK115"/>
      <c r="AL115"/>
      <c r="AN115"/>
      <c r="AO115" s="1"/>
      <c r="AP115" s="1"/>
      <c r="AQ115" s="1"/>
      <c r="AR115" s="1"/>
      <c r="AY115"/>
      <c r="AZ115"/>
      <c r="BA115"/>
      <c r="BB115"/>
      <c r="BE115" s="1"/>
      <c r="BF115" s="1"/>
      <c r="BN115"/>
      <c r="BO115"/>
    </row>
    <row r="116" spans="1:67" ht="13.5" hidden="1" x14ac:dyDescent="0.25">
      <c r="A116" s="259"/>
      <c r="B116" s="136" t="str">
        <f t="shared" si="78"/>
        <v/>
      </c>
      <c r="C116" s="133" t="str">
        <f t="shared" si="79"/>
        <v/>
      </c>
      <c r="D116" s="128" t="str">
        <f t="shared" si="80"/>
        <v/>
      </c>
      <c r="E116" s="128" t="str">
        <f t="shared" si="81"/>
        <v/>
      </c>
      <c r="F116" s="128"/>
      <c r="G116" s="128">
        <f t="shared" si="82"/>
        <v>0</v>
      </c>
      <c r="H116" s="128" t="str">
        <f t="shared" si="83"/>
        <v/>
      </c>
      <c r="I116" s="128"/>
      <c r="J116" s="128">
        <f t="shared" si="84"/>
        <v>0</v>
      </c>
      <c r="K116" s="146" t="str">
        <f t="shared" si="90"/>
        <v/>
      </c>
      <c r="L116" s="145" t="b">
        <f>IF(G116&gt;3,(ISERROR(VLOOKUP(K116,K$112:K115,1,FALSE))),FALSE)</f>
        <v>0</v>
      </c>
      <c r="M116" s="145" t="str">
        <f t="shared" si="85"/>
        <v/>
      </c>
      <c r="N116" s="9"/>
      <c r="O116" s="151" t="str">
        <f t="shared" si="86"/>
        <v/>
      </c>
      <c r="P116" s="151" t="b">
        <f>IF(J116&gt;2,(ISERROR(VLOOKUP(O116,O$112:O115,1,FALSE))),FALSE)</f>
        <v>0</v>
      </c>
      <c r="Q116" s="151" t="str">
        <f t="shared" si="87"/>
        <v/>
      </c>
      <c r="R116" s="166" t="str">
        <f t="shared" si="88"/>
        <v/>
      </c>
      <c r="S116" s="166" t="b">
        <f>IF(AND(G116&gt;0,G116&lt;3),(ISERROR(VLOOKUP(R116,R$112:R115,1,FALSE))),FALSE)</f>
        <v>0</v>
      </c>
      <c r="T116" s="166" t="str">
        <f t="shared" si="89"/>
        <v/>
      </c>
      <c r="U116" s="9"/>
      <c r="V116" s="9"/>
      <c r="W116" s="9"/>
      <c r="X116" s="37"/>
      <c r="Y116" s="9"/>
      <c r="Z116" s="9"/>
      <c r="AD116" s="27"/>
      <c r="AH116"/>
      <c r="AJ116"/>
      <c r="AK116"/>
      <c r="AL116"/>
      <c r="AN116"/>
      <c r="AO116" s="1"/>
      <c r="AP116" s="1"/>
      <c r="AQ116" s="1"/>
      <c r="AR116" s="1"/>
      <c r="AY116"/>
      <c r="AZ116"/>
      <c r="BA116"/>
      <c r="BB116"/>
      <c r="BE116" s="1"/>
      <c r="BF116" s="1"/>
      <c r="BN116"/>
      <c r="BO116"/>
    </row>
    <row r="117" spans="1:67" ht="13.5" hidden="1" x14ac:dyDescent="0.25">
      <c r="A117" s="259"/>
      <c r="B117" s="136" t="str">
        <f t="shared" si="78"/>
        <v/>
      </c>
      <c r="C117" s="133" t="str">
        <f t="shared" si="79"/>
        <v/>
      </c>
      <c r="D117" s="128" t="str">
        <f t="shared" si="80"/>
        <v/>
      </c>
      <c r="E117" s="128" t="str">
        <f t="shared" si="81"/>
        <v/>
      </c>
      <c r="F117" s="128"/>
      <c r="G117" s="128">
        <f t="shared" si="82"/>
        <v>0</v>
      </c>
      <c r="H117" s="128" t="str">
        <f t="shared" si="83"/>
        <v/>
      </c>
      <c r="I117" s="128"/>
      <c r="J117" s="128">
        <f t="shared" si="84"/>
        <v>0</v>
      </c>
      <c r="K117" s="146" t="str">
        <f t="shared" si="90"/>
        <v/>
      </c>
      <c r="L117" s="145" t="b">
        <f>IF(G117&gt;3,(ISERROR(VLOOKUP(K117,K$112:K116,1,FALSE))),FALSE)</f>
        <v>0</v>
      </c>
      <c r="M117" s="145" t="str">
        <f t="shared" si="85"/>
        <v/>
      </c>
      <c r="N117" s="9"/>
      <c r="O117" s="151" t="str">
        <f t="shared" si="86"/>
        <v/>
      </c>
      <c r="P117" s="151" t="b">
        <f>IF(J117&gt;2,(ISERROR(VLOOKUP(O117,O$112:O116,1,FALSE))),FALSE)</f>
        <v>0</v>
      </c>
      <c r="Q117" s="151" t="str">
        <f t="shared" si="87"/>
        <v/>
      </c>
      <c r="R117" s="166" t="str">
        <f t="shared" si="88"/>
        <v/>
      </c>
      <c r="S117" s="166" t="b">
        <f>IF(AND(G117&gt;0,G117&lt;3),(ISERROR(VLOOKUP(R117,R$112:R116,1,FALSE))),FALSE)</f>
        <v>0</v>
      </c>
      <c r="T117" s="166" t="str">
        <f t="shared" si="89"/>
        <v/>
      </c>
      <c r="U117" s="9"/>
      <c r="V117" s="9"/>
      <c r="W117" s="9"/>
      <c r="X117" s="37"/>
      <c r="Y117" s="9"/>
      <c r="Z117" s="9"/>
      <c r="AD117" s="27"/>
      <c r="AH117"/>
      <c r="AJ117"/>
      <c r="AK117"/>
      <c r="AL117"/>
      <c r="AN117"/>
      <c r="AO117" s="1"/>
      <c r="AP117" s="1"/>
      <c r="AQ117" s="1"/>
      <c r="AR117" s="1"/>
      <c r="AY117"/>
      <c r="AZ117"/>
      <c r="BA117"/>
      <c r="BB117"/>
      <c r="BE117" s="1"/>
      <c r="BF117" s="1"/>
      <c r="BN117"/>
      <c r="BO117"/>
    </row>
    <row r="118" spans="1:67" ht="13.5" hidden="1" x14ac:dyDescent="0.25">
      <c r="A118" s="259"/>
      <c r="B118" s="136" t="str">
        <f t="shared" si="78"/>
        <v/>
      </c>
      <c r="C118" s="133" t="str">
        <f t="shared" si="79"/>
        <v/>
      </c>
      <c r="D118" s="128" t="str">
        <f t="shared" si="80"/>
        <v/>
      </c>
      <c r="E118" s="128" t="str">
        <f t="shared" si="81"/>
        <v/>
      </c>
      <c r="F118" s="128"/>
      <c r="G118" s="128">
        <f t="shared" si="82"/>
        <v>0</v>
      </c>
      <c r="H118" s="128" t="str">
        <f t="shared" si="83"/>
        <v/>
      </c>
      <c r="I118" s="128"/>
      <c r="J118" s="128">
        <f t="shared" si="84"/>
        <v>0</v>
      </c>
      <c r="K118" s="146" t="str">
        <f t="shared" si="90"/>
        <v/>
      </c>
      <c r="L118" s="145" t="b">
        <f>IF(G118&gt;3,(ISERROR(VLOOKUP(K118,K$112:K117,1,FALSE))),FALSE)</f>
        <v>0</v>
      </c>
      <c r="M118" s="145" t="str">
        <f t="shared" si="85"/>
        <v/>
      </c>
      <c r="N118" s="9"/>
      <c r="O118" s="151" t="str">
        <f t="shared" si="86"/>
        <v/>
      </c>
      <c r="P118" s="151" t="b">
        <f>IF(J118&gt;2,(ISERROR(VLOOKUP(O118,O$112:O117,1,FALSE))),FALSE)</f>
        <v>0</v>
      </c>
      <c r="Q118" s="151" t="str">
        <f t="shared" si="87"/>
        <v/>
      </c>
      <c r="R118" s="166" t="str">
        <f t="shared" si="88"/>
        <v/>
      </c>
      <c r="S118" s="166" t="b">
        <f>IF(AND(G118&gt;0,G118&lt;3),(ISERROR(VLOOKUP(R118,R$112:R117,1,FALSE))),FALSE)</f>
        <v>0</v>
      </c>
      <c r="T118" s="166" t="str">
        <f t="shared" si="89"/>
        <v/>
      </c>
      <c r="U118" s="9"/>
      <c r="V118" s="9"/>
      <c r="W118" s="9"/>
      <c r="X118" s="37"/>
      <c r="Y118" s="9"/>
      <c r="Z118" s="9"/>
      <c r="AD118" s="27"/>
      <c r="AH118"/>
      <c r="AJ118"/>
      <c r="AK118"/>
      <c r="AL118"/>
      <c r="AN118"/>
      <c r="AO118" s="1"/>
      <c r="AP118" s="1"/>
      <c r="AQ118" s="1"/>
      <c r="AR118" s="1"/>
      <c r="AY118"/>
      <c r="AZ118"/>
      <c r="BA118"/>
      <c r="BB118"/>
      <c r="BE118" s="1"/>
      <c r="BF118" s="1"/>
      <c r="BN118"/>
      <c r="BO118"/>
    </row>
    <row r="119" spans="1:67" ht="13.5" hidden="1" x14ac:dyDescent="0.25">
      <c r="A119" s="259"/>
      <c r="B119" s="136" t="str">
        <f t="shared" si="78"/>
        <v/>
      </c>
      <c r="C119" s="133" t="str">
        <f t="shared" si="79"/>
        <v/>
      </c>
      <c r="D119" s="128" t="str">
        <f t="shared" si="80"/>
        <v/>
      </c>
      <c r="E119" s="128" t="str">
        <f t="shared" si="81"/>
        <v/>
      </c>
      <c r="F119" s="128"/>
      <c r="G119" s="128">
        <f t="shared" si="82"/>
        <v>0</v>
      </c>
      <c r="H119" s="128" t="str">
        <f t="shared" si="83"/>
        <v/>
      </c>
      <c r="I119" s="128"/>
      <c r="J119" s="128">
        <f t="shared" si="84"/>
        <v>0</v>
      </c>
      <c r="K119" s="146" t="str">
        <f t="shared" si="90"/>
        <v/>
      </c>
      <c r="L119" s="145" t="b">
        <f>IF(G119&gt;3,(ISERROR(VLOOKUP(K119,K$112:K118,1,FALSE))),FALSE)</f>
        <v>0</v>
      </c>
      <c r="M119" s="145" t="str">
        <f t="shared" si="85"/>
        <v/>
      </c>
      <c r="N119" s="9"/>
      <c r="O119" s="151" t="str">
        <f t="shared" si="86"/>
        <v/>
      </c>
      <c r="P119" s="151" t="b">
        <f>IF(J119&gt;2,(ISERROR(VLOOKUP(O119,O$112:O118,1,FALSE))),FALSE)</f>
        <v>0</v>
      </c>
      <c r="Q119" s="151" t="str">
        <f t="shared" si="87"/>
        <v/>
      </c>
      <c r="R119" s="166" t="str">
        <f t="shared" si="88"/>
        <v/>
      </c>
      <c r="S119" s="166" t="b">
        <f>IF(AND(G119&gt;0,G119&lt;3),(ISERROR(VLOOKUP(R119,R$112:R118,1,FALSE))),FALSE)</f>
        <v>0</v>
      </c>
      <c r="T119" s="166" t="str">
        <f t="shared" si="89"/>
        <v/>
      </c>
      <c r="U119" s="9"/>
      <c r="V119" s="9"/>
      <c r="W119" s="9"/>
      <c r="X119" s="37"/>
      <c r="Y119" s="9"/>
      <c r="Z119" s="9"/>
      <c r="AD119" s="27"/>
      <c r="AH119"/>
      <c r="AJ119"/>
      <c r="AK119"/>
      <c r="AL119"/>
      <c r="AN119"/>
      <c r="AO119" s="1"/>
      <c r="AP119" s="1"/>
      <c r="AQ119" s="1"/>
      <c r="AR119" s="1"/>
      <c r="AY119"/>
      <c r="AZ119"/>
      <c r="BA119"/>
      <c r="BB119"/>
      <c r="BE119" s="1"/>
      <c r="BF119" s="1"/>
      <c r="BN119"/>
      <c r="BO119"/>
    </row>
    <row r="120" spans="1:67" ht="13.5" hidden="1" x14ac:dyDescent="0.25">
      <c r="A120" s="259"/>
      <c r="B120" s="136" t="str">
        <f t="shared" si="78"/>
        <v/>
      </c>
      <c r="C120" s="133" t="str">
        <f t="shared" si="79"/>
        <v/>
      </c>
      <c r="D120" s="128" t="str">
        <f t="shared" si="80"/>
        <v/>
      </c>
      <c r="E120" s="128" t="str">
        <f t="shared" si="81"/>
        <v/>
      </c>
      <c r="F120" s="128"/>
      <c r="G120" s="128">
        <f t="shared" si="82"/>
        <v>0</v>
      </c>
      <c r="H120" s="128" t="str">
        <f t="shared" si="83"/>
        <v/>
      </c>
      <c r="I120" s="128"/>
      <c r="J120" s="128">
        <f t="shared" si="84"/>
        <v>0</v>
      </c>
      <c r="K120" s="146" t="str">
        <f t="shared" si="90"/>
        <v/>
      </c>
      <c r="L120" s="145" t="b">
        <f>IF(G120&gt;3,(ISERROR(VLOOKUP(K120,K$112:K119,1,FALSE))),FALSE)</f>
        <v>0</v>
      </c>
      <c r="M120" s="145" t="str">
        <f t="shared" si="85"/>
        <v/>
      </c>
      <c r="N120" s="9"/>
      <c r="O120" s="151" t="str">
        <f t="shared" si="86"/>
        <v/>
      </c>
      <c r="P120" s="151" t="b">
        <f>IF(J120&gt;2,(ISERROR(VLOOKUP(O120,O$112:O119,1,FALSE))),FALSE)</f>
        <v>0</v>
      </c>
      <c r="Q120" s="151" t="str">
        <f t="shared" si="87"/>
        <v/>
      </c>
      <c r="R120" s="166" t="str">
        <f t="shared" si="88"/>
        <v/>
      </c>
      <c r="S120" s="166" t="b">
        <f>IF(AND(G120&gt;0,G120&lt;3),(ISERROR(VLOOKUP(R120,R$112:R119,1,FALSE))),FALSE)</f>
        <v>0</v>
      </c>
      <c r="T120" s="166" t="str">
        <f t="shared" si="89"/>
        <v/>
      </c>
      <c r="U120" s="9"/>
      <c r="V120" s="9"/>
      <c r="W120" s="9"/>
      <c r="X120" s="37"/>
      <c r="Y120" s="9"/>
      <c r="Z120" s="9"/>
      <c r="AD120" s="27"/>
      <c r="AH120"/>
      <c r="AJ120"/>
      <c r="AK120"/>
      <c r="AL120"/>
      <c r="AN120"/>
      <c r="AO120" s="1"/>
      <c r="AP120" s="1"/>
      <c r="AQ120" s="1"/>
      <c r="AR120" s="1"/>
      <c r="AY120"/>
      <c r="AZ120"/>
      <c r="BA120"/>
      <c r="BB120"/>
      <c r="BE120" s="1"/>
      <c r="BF120" s="1"/>
      <c r="BN120"/>
      <c r="BO120"/>
    </row>
    <row r="121" spans="1:67" ht="13.5" hidden="1" x14ac:dyDescent="0.25">
      <c r="A121" s="259"/>
      <c r="B121" s="136" t="str">
        <f t="shared" si="78"/>
        <v/>
      </c>
      <c r="C121" s="133" t="str">
        <f t="shared" si="79"/>
        <v/>
      </c>
      <c r="D121" s="128" t="str">
        <f t="shared" si="80"/>
        <v/>
      </c>
      <c r="E121" s="128" t="str">
        <f t="shared" si="81"/>
        <v/>
      </c>
      <c r="F121" s="128"/>
      <c r="G121" s="128">
        <f t="shared" si="82"/>
        <v>0</v>
      </c>
      <c r="H121" s="128" t="str">
        <f t="shared" si="83"/>
        <v/>
      </c>
      <c r="I121" s="128"/>
      <c r="J121" s="128">
        <f t="shared" si="84"/>
        <v>0</v>
      </c>
      <c r="K121" s="146" t="str">
        <f t="shared" si="90"/>
        <v/>
      </c>
      <c r="L121" s="145" t="b">
        <f>IF(G121&gt;3,(ISERROR(VLOOKUP(K121,K$112:K120,1,FALSE))),FALSE)</f>
        <v>0</v>
      </c>
      <c r="M121" s="145" t="str">
        <f t="shared" si="85"/>
        <v/>
      </c>
      <c r="N121" s="9"/>
      <c r="O121" s="151" t="str">
        <f t="shared" si="86"/>
        <v/>
      </c>
      <c r="P121" s="151" t="b">
        <f>IF(J121&gt;2,(ISERROR(VLOOKUP(O121,O$112:O120,1,FALSE))),FALSE)</f>
        <v>0</v>
      </c>
      <c r="Q121" s="151" t="str">
        <f t="shared" si="87"/>
        <v/>
      </c>
      <c r="R121" s="166" t="str">
        <f t="shared" si="88"/>
        <v/>
      </c>
      <c r="S121" s="166" t="b">
        <f>IF(AND(G121&gt;0,G121&lt;3),(ISERROR(VLOOKUP(R121,R$112:R120,1,FALSE))),FALSE)</f>
        <v>0</v>
      </c>
      <c r="T121" s="166" t="str">
        <f t="shared" si="89"/>
        <v/>
      </c>
      <c r="U121" s="9"/>
      <c r="V121" s="9"/>
      <c r="W121" s="9"/>
      <c r="X121" s="37"/>
      <c r="Y121" s="9"/>
      <c r="Z121" s="9"/>
      <c r="AD121" s="27"/>
      <c r="AH121"/>
      <c r="AJ121"/>
      <c r="AK121"/>
      <c r="AL121"/>
      <c r="AN121"/>
      <c r="AO121" s="1"/>
      <c r="AP121" s="1"/>
      <c r="AQ121" s="1"/>
      <c r="AR121" s="1"/>
      <c r="AY121"/>
      <c r="AZ121"/>
      <c r="BA121"/>
      <c r="BB121"/>
      <c r="BE121" s="1"/>
      <c r="BF121" s="1"/>
      <c r="BN121"/>
      <c r="BO121"/>
    </row>
    <row r="122" spans="1:67" ht="13.5" hidden="1" x14ac:dyDescent="0.25">
      <c r="A122" s="259"/>
      <c r="B122" s="136" t="str">
        <f t="shared" si="78"/>
        <v/>
      </c>
      <c r="C122" s="133" t="str">
        <f t="shared" si="79"/>
        <v/>
      </c>
      <c r="D122" s="128" t="str">
        <f t="shared" si="80"/>
        <v/>
      </c>
      <c r="E122" s="128" t="str">
        <f t="shared" si="81"/>
        <v/>
      </c>
      <c r="F122" s="128"/>
      <c r="G122" s="128">
        <f t="shared" si="82"/>
        <v>0</v>
      </c>
      <c r="H122" s="128" t="str">
        <f t="shared" si="83"/>
        <v/>
      </c>
      <c r="I122" s="128"/>
      <c r="J122" s="128">
        <f t="shared" si="84"/>
        <v>0</v>
      </c>
      <c r="K122" s="146" t="str">
        <f t="shared" si="90"/>
        <v/>
      </c>
      <c r="L122" s="145" t="b">
        <f>IF(G122&gt;3,(ISERROR(VLOOKUP(K122,K$112:K121,1,FALSE))),FALSE)</f>
        <v>0</v>
      </c>
      <c r="M122" s="145" t="str">
        <f t="shared" si="85"/>
        <v/>
      </c>
      <c r="N122" s="9"/>
      <c r="O122" s="151" t="str">
        <f t="shared" si="86"/>
        <v/>
      </c>
      <c r="P122" s="151" t="b">
        <f>IF(J122&gt;2,(ISERROR(VLOOKUP(O122,O$112:O121,1,FALSE))),FALSE)</f>
        <v>0</v>
      </c>
      <c r="Q122" s="151" t="str">
        <f t="shared" si="87"/>
        <v/>
      </c>
      <c r="R122" s="166" t="str">
        <f t="shared" si="88"/>
        <v/>
      </c>
      <c r="S122" s="166" t="b">
        <f>IF(AND(G122&gt;0,G122&lt;3),(ISERROR(VLOOKUP(R122,R$112:R121,1,FALSE))),FALSE)</f>
        <v>0</v>
      </c>
      <c r="T122" s="166" t="str">
        <f t="shared" si="89"/>
        <v/>
      </c>
      <c r="U122" s="9"/>
      <c r="V122" s="9"/>
      <c r="W122" s="9"/>
      <c r="X122" s="37"/>
      <c r="Y122" s="9"/>
      <c r="Z122" s="9"/>
      <c r="AD122" s="27"/>
      <c r="AH122"/>
      <c r="AJ122"/>
      <c r="AK122"/>
      <c r="AL122"/>
      <c r="AN122"/>
      <c r="AO122" s="1"/>
      <c r="AP122" s="1"/>
      <c r="AQ122" s="1"/>
      <c r="AR122" s="1"/>
      <c r="AY122"/>
      <c r="AZ122"/>
      <c r="BA122"/>
      <c r="BB122"/>
      <c r="BE122" s="1"/>
      <c r="BF122" s="1"/>
      <c r="BN122"/>
      <c r="BO122"/>
    </row>
    <row r="123" spans="1:67" ht="13.5" hidden="1" x14ac:dyDescent="0.25">
      <c r="A123" s="259"/>
      <c r="B123" s="136" t="str">
        <f t="shared" si="78"/>
        <v/>
      </c>
      <c r="C123" s="133" t="str">
        <f t="shared" si="79"/>
        <v/>
      </c>
      <c r="D123" s="128" t="str">
        <f t="shared" si="80"/>
        <v/>
      </c>
      <c r="E123" s="128" t="str">
        <f t="shared" si="81"/>
        <v/>
      </c>
      <c r="F123" s="128"/>
      <c r="G123" s="128">
        <f t="shared" si="82"/>
        <v>0</v>
      </c>
      <c r="H123" s="128" t="str">
        <f t="shared" si="83"/>
        <v/>
      </c>
      <c r="I123" s="128"/>
      <c r="J123" s="128">
        <f t="shared" si="84"/>
        <v>0</v>
      </c>
      <c r="K123" s="146" t="str">
        <f t="shared" si="90"/>
        <v/>
      </c>
      <c r="L123" s="145" t="b">
        <f>IF(G123&gt;3,(ISERROR(VLOOKUP(K123,K$112:K122,1,FALSE))),FALSE)</f>
        <v>0</v>
      </c>
      <c r="M123" s="145" t="str">
        <f t="shared" si="85"/>
        <v/>
      </c>
      <c r="N123" s="9"/>
      <c r="O123" s="151" t="str">
        <f t="shared" si="86"/>
        <v/>
      </c>
      <c r="P123" s="151" t="b">
        <f>IF(J123&gt;2,(ISERROR(VLOOKUP(O123,O$112:O122,1,FALSE))),FALSE)</f>
        <v>0</v>
      </c>
      <c r="Q123" s="151" t="str">
        <f t="shared" si="87"/>
        <v/>
      </c>
      <c r="R123" s="166" t="str">
        <f t="shared" si="88"/>
        <v/>
      </c>
      <c r="S123" s="166" t="b">
        <f>IF(AND(G123&gt;0,G123&lt;3),(ISERROR(VLOOKUP(R123,R$112:R122,1,FALSE))),FALSE)</f>
        <v>0</v>
      </c>
      <c r="T123" s="166" t="str">
        <f t="shared" si="89"/>
        <v/>
      </c>
      <c r="U123" s="9"/>
      <c r="V123" s="9"/>
      <c r="W123" s="9"/>
      <c r="X123" s="37"/>
      <c r="Y123" s="9"/>
      <c r="Z123" s="9"/>
      <c r="AD123" s="27"/>
      <c r="AH123"/>
      <c r="AJ123"/>
      <c r="AK123"/>
      <c r="AL123"/>
      <c r="AN123"/>
      <c r="AO123" s="1"/>
      <c r="AP123" s="1"/>
      <c r="AQ123" s="1"/>
      <c r="AR123" s="1"/>
      <c r="AY123"/>
      <c r="AZ123"/>
      <c r="BA123"/>
      <c r="BB123"/>
      <c r="BE123" s="1"/>
      <c r="BF123" s="1"/>
      <c r="BN123"/>
      <c r="BO123"/>
    </row>
    <row r="124" spans="1:67" ht="13.5" hidden="1" x14ac:dyDescent="0.25">
      <c r="A124" s="259"/>
      <c r="B124" s="136" t="str">
        <f t="shared" si="78"/>
        <v/>
      </c>
      <c r="C124" s="133" t="str">
        <f t="shared" si="79"/>
        <v/>
      </c>
      <c r="D124" s="128" t="str">
        <f t="shared" si="80"/>
        <v/>
      </c>
      <c r="E124" s="128" t="str">
        <f t="shared" si="81"/>
        <v/>
      </c>
      <c r="F124" s="128"/>
      <c r="G124" s="128">
        <f t="shared" si="82"/>
        <v>0</v>
      </c>
      <c r="H124" s="128" t="str">
        <f t="shared" si="83"/>
        <v/>
      </c>
      <c r="I124" s="128"/>
      <c r="J124" s="128">
        <f t="shared" si="84"/>
        <v>0</v>
      </c>
      <c r="K124" s="146" t="str">
        <f t="shared" si="90"/>
        <v/>
      </c>
      <c r="L124" s="145" t="b">
        <f>IF(G124&gt;3,(ISERROR(VLOOKUP(K124,K$112:K123,1,FALSE))),FALSE)</f>
        <v>0</v>
      </c>
      <c r="M124" s="145" t="str">
        <f t="shared" si="85"/>
        <v/>
      </c>
      <c r="N124" s="9"/>
      <c r="O124" s="151" t="str">
        <f t="shared" si="86"/>
        <v/>
      </c>
      <c r="P124" s="151" t="b">
        <f>IF(J124&gt;2,(ISERROR(VLOOKUP(O124,O$112:O123,1,FALSE))),FALSE)</f>
        <v>0</v>
      </c>
      <c r="Q124" s="151" t="str">
        <f t="shared" si="87"/>
        <v/>
      </c>
      <c r="R124" s="166" t="str">
        <f t="shared" si="88"/>
        <v/>
      </c>
      <c r="S124" s="166" t="b">
        <f>IF(AND(G124&gt;0,G124&lt;3),(ISERROR(VLOOKUP(R124,R$112:R123,1,FALSE))),FALSE)</f>
        <v>0</v>
      </c>
      <c r="T124" s="166" t="str">
        <f t="shared" si="89"/>
        <v/>
      </c>
      <c r="U124" s="9"/>
      <c r="V124" s="9"/>
      <c r="W124" s="9"/>
      <c r="X124" s="37"/>
      <c r="Y124" s="9"/>
      <c r="Z124" s="9"/>
      <c r="AD124" s="27"/>
      <c r="AH124"/>
      <c r="AJ124"/>
      <c r="AK124"/>
      <c r="AL124"/>
      <c r="AN124"/>
      <c r="AO124" s="1"/>
      <c r="AP124" s="1"/>
      <c r="AQ124" s="1"/>
      <c r="AR124" s="1"/>
      <c r="AY124"/>
      <c r="AZ124"/>
      <c r="BA124"/>
      <c r="BB124"/>
      <c r="BE124" s="1"/>
      <c r="BF124" s="1"/>
      <c r="BN124"/>
      <c r="BO124"/>
    </row>
    <row r="125" spans="1:67" ht="13.5" hidden="1" x14ac:dyDescent="0.25">
      <c r="A125" s="259"/>
      <c r="B125" s="136" t="str">
        <f t="shared" si="78"/>
        <v/>
      </c>
      <c r="C125" s="133" t="str">
        <f t="shared" si="79"/>
        <v/>
      </c>
      <c r="D125" s="128" t="str">
        <f t="shared" si="80"/>
        <v/>
      </c>
      <c r="E125" s="128" t="str">
        <f t="shared" si="81"/>
        <v/>
      </c>
      <c r="F125" s="128"/>
      <c r="G125" s="128">
        <f t="shared" si="82"/>
        <v>0</v>
      </c>
      <c r="H125" s="128" t="str">
        <f t="shared" si="83"/>
        <v/>
      </c>
      <c r="I125" s="128"/>
      <c r="J125" s="128">
        <f t="shared" si="84"/>
        <v>0</v>
      </c>
      <c r="K125" s="146" t="str">
        <f t="shared" si="90"/>
        <v/>
      </c>
      <c r="L125" s="145" t="b">
        <f>IF(G125&gt;3,(ISERROR(VLOOKUP(K125,K$112:K124,1,FALSE))),FALSE)</f>
        <v>0</v>
      </c>
      <c r="M125" s="145" t="str">
        <f t="shared" si="85"/>
        <v/>
      </c>
      <c r="N125" s="9"/>
      <c r="O125" s="151" t="str">
        <f t="shared" si="86"/>
        <v/>
      </c>
      <c r="P125" s="151" t="b">
        <f>IF(J125&gt;2,(ISERROR(VLOOKUP(O125,O$112:O124,1,FALSE))),FALSE)</f>
        <v>0</v>
      </c>
      <c r="Q125" s="151" t="str">
        <f t="shared" si="87"/>
        <v/>
      </c>
      <c r="R125" s="166" t="str">
        <f t="shared" si="88"/>
        <v/>
      </c>
      <c r="S125" s="166" t="b">
        <f>IF(AND(G125&gt;0,G125&lt;3),(ISERROR(VLOOKUP(R125,R$112:R124,1,FALSE))),FALSE)</f>
        <v>0</v>
      </c>
      <c r="T125" s="166" t="str">
        <f t="shared" si="89"/>
        <v/>
      </c>
      <c r="U125" s="9"/>
      <c r="V125" s="9"/>
      <c r="W125" s="9"/>
      <c r="X125" s="37"/>
      <c r="Y125" s="9"/>
      <c r="Z125" s="9"/>
      <c r="AD125" s="27"/>
      <c r="AH125"/>
      <c r="AJ125"/>
      <c r="AK125"/>
      <c r="AL125"/>
      <c r="AN125"/>
      <c r="AO125" s="1"/>
      <c r="AP125" s="1"/>
      <c r="AQ125" s="1"/>
      <c r="AR125" s="1"/>
      <c r="AY125"/>
      <c r="AZ125"/>
      <c r="BA125"/>
      <c r="BB125"/>
      <c r="BE125" s="1"/>
      <c r="BF125" s="1"/>
      <c r="BN125"/>
      <c r="BO125"/>
    </row>
    <row r="126" spans="1:67" ht="13.5" hidden="1" x14ac:dyDescent="0.25">
      <c r="A126" s="259"/>
      <c r="B126" s="136" t="str">
        <f t="shared" si="78"/>
        <v/>
      </c>
      <c r="C126" s="133" t="str">
        <f t="shared" si="79"/>
        <v/>
      </c>
      <c r="D126" s="128" t="str">
        <f t="shared" si="80"/>
        <v/>
      </c>
      <c r="E126" s="128" t="str">
        <f t="shared" si="81"/>
        <v/>
      </c>
      <c r="F126" s="128"/>
      <c r="G126" s="128">
        <f t="shared" si="82"/>
        <v>0</v>
      </c>
      <c r="H126" s="128" t="str">
        <f t="shared" si="83"/>
        <v/>
      </c>
      <c r="I126" s="128"/>
      <c r="J126" s="128">
        <f t="shared" si="84"/>
        <v>0</v>
      </c>
      <c r="K126" s="146" t="str">
        <f t="shared" si="90"/>
        <v/>
      </c>
      <c r="L126" s="145" t="b">
        <f>IF(G126&gt;3,(ISERROR(VLOOKUP(K126,K$112:K125,1,FALSE))),FALSE)</f>
        <v>0</v>
      </c>
      <c r="M126" s="145" t="str">
        <f t="shared" si="85"/>
        <v/>
      </c>
      <c r="N126" s="9"/>
      <c r="O126" s="151" t="str">
        <f t="shared" si="86"/>
        <v/>
      </c>
      <c r="P126" s="151" t="b">
        <f>IF(J126&gt;2,(ISERROR(VLOOKUP(O126,O$112:O125,1,FALSE))),FALSE)</f>
        <v>0</v>
      </c>
      <c r="Q126" s="151" t="str">
        <f t="shared" si="87"/>
        <v/>
      </c>
      <c r="R126" s="166" t="str">
        <f t="shared" si="88"/>
        <v/>
      </c>
      <c r="S126" s="166" t="b">
        <f>IF(AND(G126&gt;0,G126&lt;3),(ISERROR(VLOOKUP(R126,R$112:R125,1,FALSE))),FALSE)</f>
        <v>0</v>
      </c>
      <c r="T126" s="166" t="str">
        <f t="shared" si="89"/>
        <v/>
      </c>
      <c r="U126" s="9"/>
      <c r="V126" s="9"/>
      <c r="W126" s="9"/>
      <c r="X126" s="37"/>
      <c r="Y126" s="9"/>
      <c r="Z126" s="9"/>
      <c r="AD126" s="27"/>
      <c r="AH126"/>
      <c r="AJ126"/>
      <c r="AK126"/>
      <c r="AL126"/>
      <c r="AN126"/>
      <c r="AO126" s="1"/>
      <c r="AP126" s="1"/>
      <c r="AQ126" s="1"/>
      <c r="AR126" s="1"/>
      <c r="AY126"/>
      <c r="AZ126"/>
      <c r="BA126"/>
      <c r="BB126"/>
      <c r="BE126" s="1"/>
      <c r="BF126" s="1"/>
      <c r="BN126"/>
      <c r="BO126"/>
    </row>
    <row r="127" spans="1:67" ht="13.5" hidden="1" x14ac:dyDescent="0.25">
      <c r="A127" s="259"/>
      <c r="B127" s="136" t="str">
        <f t="shared" si="78"/>
        <v/>
      </c>
      <c r="C127" s="133" t="str">
        <f t="shared" si="79"/>
        <v/>
      </c>
      <c r="D127" s="128" t="str">
        <f t="shared" si="80"/>
        <v/>
      </c>
      <c r="E127" s="128" t="str">
        <f t="shared" si="81"/>
        <v/>
      </c>
      <c r="F127" s="128"/>
      <c r="G127" s="128">
        <f t="shared" si="82"/>
        <v>0</v>
      </c>
      <c r="H127" s="128" t="str">
        <f t="shared" si="83"/>
        <v/>
      </c>
      <c r="I127" s="128"/>
      <c r="J127" s="128">
        <f t="shared" si="84"/>
        <v>0</v>
      </c>
      <c r="K127" s="146" t="str">
        <f t="shared" si="90"/>
        <v/>
      </c>
      <c r="L127" s="145" t="b">
        <f>IF(G127&gt;3,(ISERROR(VLOOKUP(K127,K$112:K126,1,FALSE))),FALSE)</f>
        <v>0</v>
      </c>
      <c r="M127" s="145" t="str">
        <f t="shared" si="85"/>
        <v/>
      </c>
      <c r="N127" s="9"/>
      <c r="O127" s="151" t="str">
        <f t="shared" si="86"/>
        <v/>
      </c>
      <c r="P127" s="151" t="b">
        <f>IF(J127&gt;2,(ISERROR(VLOOKUP(O127,O$112:O126,1,FALSE))),FALSE)</f>
        <v>0</v>
      </c>
      <c r="Q127" s="151" t="str">
        <f t="shared" si="87"/>
        <v/>
      </c>
      <c r="R127" s="166" t="str">
        <f t="shared" si="88"/>
        <v/>
      </c>
      <c r="S127" s="166" t="b">
        <f>IF(AND(G127&gt;0,G127&lt;3),(ISERROR(VLOOKUP(R127,R$112:R126,1,FALSE))),FALSE)</f>
        <v>0</v>
      </c>
      <c r="T127" s="166" t="str">
        <f t="shared" si="89"/>
        <v/>
      </c>
      <c r="U127" s="9"/>
      <c r="V127" s="9"/>
      <c r="W127" s="9"/>
      <c r="X127" s="37"/>
      <c r="Y127" s="9"/>
      <c r="Z127" s="9"/>
      <c r="AD127" s="27"/>
      <c r="AH127"/>
      <c r="AJ127"/>
      <c r="AK127"/>
      <c r="AL127"/>
      <c r="AN127"/>
      <c r="AO127" s="1"/>
      <c r="AP127" s="1"/>
      <c r="AQ127" s="1"/>
      <c r="AR127" s="1"/>
      <c r="AY127"/>
      <c r="AZ127"/>
      <c r="BA127"/>
      <c r="BB127"/>
      <c r="BE127" s="1"/>
      <c r="BF127" s="1"/>
      <c r="BN127"/>
      <c r="BO127"/>
    </row>
    <row r="128" spans="1:67" ht="13.5" hidden="1" x14ac:dyDescent="0.25">
      <c r="A128" s="259"/>
      <c r="B128" s="136" t="str">
        <f t="shared" si="78"/>
        <v/>
      </c>
      <c r="C128" s="133" t="str">
        <f t="shared" si="79"/>
        <v/>
      </c>
      <c r="D128" s="128" t="str">
        <f t="shared" si="80"/>
        <v/>
      </c>
      <c r="E128" s="128" t="str">
        <f t="shared" si="81"/>
        <v/>
      </c>
      <c r="F128" s="128"/>
      <c r="G128" s="128">
        <f t="shared" si="82"/>
        <v>0</v>
      </c>
      <c r="H128" s="128" t="str">
        <f t="shared" si="83"/>
        <v/>
      </c>
      <c r="I128" s="128"/>
      <c r="J128" s="128">
        <f t="shared" si="84"/>
        <v>0</v>
      </c>
      <c r="K128" s="146" t="str">
        <f t="shared" si="90"/>
        <v/>
      </c>
      <c r="L128" s="145" t="b">
        <f>IF(G128&gt;3,(ISERROR(VLOOKUP(K128,K$112:K127,1,FALSE))),FALSE)</f>
        <v>0</v>
      </c>
      <c r="M128" s="145" t="str">
        <f t="shared" si="85"/>
        <v/>
      </c>
      <c r="N128" s="9"/>
      <c r="O128" s="151" t="str">
        <f t="shared" si="86"/>
        <v/>
      </c>
      <c r="P128" s="151" t="b">
        <f>IF(J128&gt;2,(ISERROR(VLOOKUP(O128,O$112:O127,1,FALSE))),FALSE)</f>
        <v>0</v>
      </c>
      <c r="Q128" s="151" t="str">
        <f t="shared" si="87"/>
        <v/>
      </c>
      <c r="R128" s="166" t="str">
        <f t="shared" si="88"/>
        <v/>
      </c>
      <c r="S128" s="166" t="b">
        <f>IF(AND(G128&gt;0,G128&lt;3),(ISERROR(VLOOKUP(R128,R$112:R127,1,FALSE))),FALSE)</f>
        <v>0</v>
      </c>
      <c r="T128" s="166" t="str">
        <f t="shared" si="89"/>
        <v/>
      </c>
      <c r="U128" s="9"/>
      <c r="V128" s="9"/>
      <c r="W128" s="9"/>
      <c r="X128" s="37"/>
      <c r="Y128" s="9"/>
      <c r="Z128" s="9"/>
      <c r="AD128" s="27"/>
      <c r="AH128"/>
      <c r="AJ128"/>
      <c r="AK128"/>
      <c r="AL128"/>
      <c r="AN128"/>
      <c r="AO128" s="1"/>
      <c r="AP128" s="1"/>
      <c r="AQ128" s="1"/>
      <c r="AR128" s="1"/>
      <c r="AY128"/>
      <c r="AZ128"/>
      <c r="BA128"/>
      <c r="BB128"/>
      <c r="BE128" s="1"/>
      <c r="BF128" s="1"/>
      <c r="BN128"/>
      <c r="BO128"/>
    </row>
    <row r="129" spans="1:67" ht="13.5" hidden="1" x14ac:dyDescent="0.25">
      <c r="A129" s="259"/>
      <c r="B129" s="136" t="str">
        <f t="shared" si="78"/>
        <v/>
      </c>
      <c r="C129" s="133" t="str">
        <f t="shared" si="79"/>
        <v/>
      </c>
      <c r="D129" s="128" t="str">
        <f t="shared" si="80"/>
        <v/>
      </c>
      <c r="E129" s="128" t="str">
        <f t="shared" si="81"/>
        <v/>
      </c>
      <c r="F129" s="128"/>
      <c r="G129" s="128">
        <f t="shared" si="82"/>
        <v>0</v>
      </c>
      <c r="H129" s="128" t="str">
        <f t="shared" si="83"/>
        <v/>
      </c>
      <c r="I129" s="128"/>
      <c r="J129" s="128">
        <f t="shared" si="84"/>
        <v>0</v>
      </c>
      <c r="K129" s="146" t="str">
        <f t="shared" si="90"/>
        <v/>
      </c>
      <c r="L129" s="145" t="b">
        <f>IF(G129&gt;3,(ISERROR(VLOOKUP(K129,K$112:K128,1,FALSE))),FALSE)</f>
        <v>0</v>
      </c>
      <c r="M129" s="145" t="str">
        <f t="shared" si="85"/>
        <v/>
      </c>
      <c r="N129" s="9"/>
      <c r="O129" s="151" t="str">
        <f t="shared" si="86"/>
        <v/>
      </c>
      <c r="P129" s="151" t="b">
        <f>IF(J129&gt;2,(ISERROR(VLOOKUP(O129,O$112:O128,1,FALSE))),FALSE)</f>
        <v>0</v>
      </c>
      <c r="Q129" s="151" t="str">
        <f t="shared" si="87"/>
        <v/>
      </c>
      <c r="R129" s="166" t="str">
        <f t="shared" si="88"/>
        <v/>
      </c>
      <c r="S129" s="166" t="b">
        <f>IF(AND(G129&gt;0,G129&lt;3),(ISERROR(VLOOKUP(R129,R$112:R128,1,FALSE))),FALSE)</f>
        <v>0</v>
      </c>
      <c r="T129" s="166" t="str">
        <f t="shared" si="89"/>
        <v/>
      </c>
      <c r="U129" s="9"/>
      <c r="V129" s="9"/>
      <c r="W129" s="9"/>
      <c r="X129" s="37"/>
      <c r="Y129" s="9"/>
      <c r="Z129" s="9"/>
      <c r="AD129" s="27"/>
      <c r="AH129"/>
      <c r="AJ129"/>
      <c r="AK129"/>
      <c r="AL129"/>
      <c r="AN129"/>
      <c r="AO129" s="1"/>
      <c r="AP129" s="1"/>
      <c r="AQ129" s="1"/>
      <c r="AR129" s="1"/>
      <c r="AY129"/>
      <c r="AZ129"/>
      <c r="BA129"/>
      <c r="BB129"/>
      <c r="BE129" s="1"/>
      <c r="BF129" s="1"/>
      <c r="BN129"/>
      <c r="BO129"/>
    </row>
    <row r="130" spans="1:67" ht="13.5" hidden="1" x14ac:dyDescent="0.25">
      <c r="A130" s="259"/>
      <c r="B130" s="136" t="str">
        <f t="shared" si="78"/>
        <v/>
      </c>
      <c r="C130" s="133" t="str">
        <f t="shared" si="79"/>
        <v/>
      </c>
      <c r="D130" s="128" t="str">
        <f t="shared" si="80"/>
        <v/>
      </c>
      <c r="E130" s="128" t="str">
        <f t="shared" si="81"/>
        <v/>
      </c>
      <c r="F130" s="128"/>
      <c r="G130" s="128">
        <f t="shared" si="82"/>
        <v>0</v>
      </c>
      <c r="H130" s="128" t="str">
        <f t="shared" si="83"/>
        <v/>
      </c>
      <c r="I130" s="128"/>
      <c r="J130" s="128">
        <f t="shared" si="84"/>
        <v>0</v>
      </c>
      <c r="K130" s="146" t="str">
        <f t="shared" si="90"/>
        <v/>
      </c>
      <c r="L130" s="145" t="b">
        <f>IF(G130&gt;3,(ISERROR(VLOOKUP(K130,K$112:K129,1,FALSE))),FALSE)</f>
        <v>0</v>
      </c>
      <c r="M130" s="145" t="str">
        <f t="shared" si="85"/>
        <v/>
      </c>
      <c r="N130" s="9"/>
      <c r="O130" s="151" t="str">
        <f t="shared" si="86"/>
        <v/>
      </c>
      <c r="P130" s="151" t="b">
        <f>IF(J130&gt;2,(ISERROR(VLOOKUP(O130,O$112:O129,1,FALSE))),FALSE)</f>
        <v>0</v>
      </c>
      <c r="Q130" s="151" t="str">
        <f t="shared" si="87"/>
        <v/>
      </c>
      <c r="R130" s="166" t="str">
        <f t="shared" si="88"/>
        <v/>
      </c>
      <c r="S130" s="166" t="b">
        <f>IF(AND(G130&gt;0,G130&lt;3),(ISERROR(VLOOKUP(R130,R$112:R129,1,FALSE))),FALSE)</f>
        <v>0</v>
      </c>
      <c r="T130" s="166" t="str">
        <f t="shared" si="89"/>
        <v/>
      </c>
      <c r="U130" s="9"/>
      <c r="V130" s="9"/>
      <c r="W130" s="9"/>
      <c r="X130" s="37"/>
      <c r="Y130" s="9"/>
      <c r="Z130" s="9"/>
      <c r="AD130" s="27"/>
      <c r="AH130"/>
      <c r="AJ130"/>
      <c r="AK130"/>
      <c r="AL130"/>
      <c r="AN130"/>
      <c r="AO130" s="1"/>
      <c r="AP130" s="1"/>
      <c r="AQ130" s="1"/>
      <c r="AR130" s="1"/>
      <c r="AY130"/>
      <c r="AZ130"/>
      <c r="BA130"/>
      <c r="BB130"/>
      <c r="BE130" s="1"/>
      <c r="BF130" s="1"/>
      <c r="BN130"/>
      <c r="BO130"/>
    </row>
    <row r="131" spans="1:67" ht="13.5" hidden="1" x14ac:dyDescent="0.25">
      <c r="A131" s="259"/>
      <c r="B131" s="136" t="str">
        <f t="shared" si="78"/>
        <v/>
      </c>
      <c r="C131" s="133" t="str">
        <f t="shared" si="79"/>
        <v/>
      </c>
      <c r="D131" s="128" t="str">
        <f t="shared" si="80"/>
        <v/>
      </c>
      <c r="E131" s="128" t="str">
        <f t="shared" si="81"/>
        <v/>
      </c>
      <c r="F131" s="128"/>
      <c r="G131" s="128">
        <f t="shared" si="82"/>
        <v>0</v>
      </c>
      <c r="H131" s="128" t="str">
        <f t="shared" si="83"/>
        <v/>
      </c>
      <c r="I131" s="128"/>
      <c r="J131" s="128">
        <f t="shared" si="84"/>
        <v>0</v>
      </c>
      <c r="K131" s="146" t="str">
        <f t="shared" si="90"/>
        <v/>
      </c>
      <c r="L131" s="145" t="b">
        <f>IF(G131&gt;3,(ISERROR(VLOOKUP(K131,K$112:K130,1,FALSE))),FALSE)</f>
        <v>0</v>
      </c>
      <c r="M131" s="145" t="str">
        <f t="shared" si="85"/>
        <v/>
      </c>
      <c r="N131" s="9"/>
      <c r="O131" s="151" t="str">
        <f t="shared" si="86"/>
        <v/>
      </c>
      <c r="P131" s="151" t="b">
        <f>IF(J131&gt;2,(ISERROR(VLOOKUP(O131,O$112:O130,1,FALSE))),FALSE)</f>
        <v>0</v>
      </c>
      <c r="Q131" s="151" t="str">
        <f t="shared" si="87"/>
        <v/>
      </c>
      <c r="R131" s="166" t="str">
        <f t="shared" si="88"/>
        <v/>
      </c>
      <c r="S131" s="166" t="b">
        <f>IF(AND(G131&gt;0,G131&lt;3),(ISERROR(VLOOKUP(R131,R$112:R130,1,FALSE))),FALSE)</f>
        <v>0</v>
      </c>
      <c r="T131" s="166" t="str">
        <f t="shared" si="89"/>
        <v/>
      </c>
      <c r="U131" s="9"/>
      <c r="V131" s="9"/>
      <c r="W131" s="9"/>
      <c r="X131" s="37"/>
      <c r="Y131" s="9"/>
      <c r="Z131" s="9"/>
      <c r="AD131" s="27"/>
      <c r="AH131"/>
      <c r="AJ131"/>
      <c r="AK131"/>
      <c r="AL131"/>
      <c r="AN131"/>
      <c r="AO131" s="1"/>
      <c r="AP131" s="1"/>
      <c r="AQ131" s="1"/>
      <c r="AR131" s="1"/>
      <c r="AY131"/>
      <c r="AZ131"/>
      <c r="BA131"/>
      <c r="BB131"/>
      <c r="BE131" s="1"/>
      <c r="BF131" s="1"/>
      <c r="BN131"/>
      <c r="BO131"/>
    </row>
    <row r="132" spans="1:67" ht="13.5" hidden="1" x14ac:dyDescent="0.25">
      <c r="A132" s="259"/>
      <c r="B132" s="136" t="str">
        <f t="shared" si="78"/>
        <v/>
      </c>
      <c r="C132" s="133" t="str">
        <f t="shared" si="79"/>
        <v/>
      </c>
      <c r="D132" s="128" t="str">
        <f t="shared" si="80"/>
        <v/>
      </c>
      <c r="E132" s="128" t="str">
        <f t="shared" si="81"/>
        <v/>
      </c>
      <c r="F132" s="128"/>
      <c r="G132" s="128">
        <f t="shared" si="82"/>
        <v>0</v>
      </c>
      <c r="H132" s="128" t="str">
        <f t="shared" si="83"/>
        <v/>
      </c>
      <c r="I132" s="128"/>
      <c r="J132" s="128">
        <f t="shared" si="84"/>
        <v>0</v>
      </c>
      <c r="K132" s="146" t="str">
        <f t="shared" si="90"/>
        <v/>
      </c>
      <c r="L132" s="145" t="b">
        <f>IF(G132&gt;3,(ISERROR(VLOOKUP(K132,K$112:K131,1,FALSE))),FALSE)</f>
        <v>0</v>
      </c>
      <c r="M132" s="145" t="str">
        <f t="shared" si="85"/>
        <v/>
      </c>
      <c r="N132" s="9"/>
      <c r="O132" s="151" t="str">
        <f t="shared" si="86"/>
        <v/>
      </c>
      <c r="P132" s="151" t="b">
        <f>IF(J132&gt;2,(ISERROR(VLOOKUP(O132,O$112:O131,1,FALSE))),FALSE)</f>
        <v>0</v>
      </c>
      <c r="Q132" s="151" t="str">
        <f t="shared" si="87"/>
        <v/>
      </c>
      <c r="R132" s="166" t="str">
        <f t="shared" si="88"/>
        <v/>
      </c>
      <c r="S132" s="166" t="b">
        <f>IF(AND(G132&gt;0,G132&lt;3),(ISERROR(VLOOKUP(R132,R$112:R131,1,FALSE))),FALSE)</f>
        <v>0</v>
      </c>
      <c r="T132" s="166" t="str">
        <f t="shared" si="89"/>
        <v/>
      </c>
      <c r="U132" s="9"/>
      <c r="V132" s="9"/>
      <c r="W132" s="9"/>
      <c r="X132" s="37"/>
      <c r="Y132" s="9"/>
      <c r="Z132" s="9"/>
      <c r="AD132" s="27"/>
      <c r="AH132"/>
      <c r="AJ132"/>
      <c r="AK132"/>
      <c r="AL132"/>
      <c r="AN132"/>
      <c r="AO132" s="1"/>
      <c r="AP132" s="1"/>
      <c r="AQ132" s="1"/>
      <c r="AR132" s="1"/>
      <c r="AY132"/>
      <c r="AZ132"/>
      <c r="BA132"/>
      <c r="BB132"/>
      <c r="BE132" s="1"/>
      <c r="BF132" s="1"/>
      <c r="BN132"/>
      <c r="BO132"/>
    </row>
    <row r="133" spans="1:67" ht="13.5" hidden="1" x14ac:dyDescent="0.25">
      <c r="A133" s="259"/>
      <c r="B133" s="136" t="str">
        <f t="shared" si="78"/>
        <v/>
      </c>
      <c r="C133" s="133" t="str">
        <f t="shared" si="79"/>
        <v/>
      </c>
      <c r="D133" s="128" t="str">
        <f t="shared" si="80"/>
        <v/>
      </c>
      <c r="E133" s="128" t="str">
        <f t="shared" si="81"/>
        <v/>
      </c>
      <c r="F133" s="128"/>
      <c r="G133" s="128">
        <f t="shared" si="82"/>
        <v>0</v>
      </c>
      <c r="H133" s="128" t="str">
        <f t="shared" si="83"/>
        <v/>
      </c>
      <c r="I133" s="128"/>
      <c r="J133" s="128">
        <f t="shared" si="84"/>
        <v>0</v>
      </c>
      <c r="K133" s="146" t="str">
        <f t="shared" si="90"/>
        <v/>
      </c>
      <c r="L133" s="145" t="b">
        <f>IF(G133&gt;3,(ISERROR(VLOOKUP(K133,K$112:K132,1,FALSE))),FALSE)</f>
        <v>0</v>
      </c>
      <c r="M133" s="145" t="str">
        <f t="shared" si="85"/>
        <v/>
      </c>
      <c r="N133" s="9"/>
      <c r="O133" s="151" t="str">
        <f t="shared" si="86"/>
        <v/>
      </c>
      <c r="P133" s="151" t="b">
        <f>IF(J133&gt;2,(ISERROR(VLOOKUP(O133,O$112:O132,1,FALSE))),FALSE)</f>
        <v>0</v>
      </c>
      <c r="Q133" s="151" t="str">
        <f t="shared" si="87"/>
        <v/>
      </c>
      <c r="R133" s="166" t="str">
        <f t="shared" si="88"/>
        <v/>
      </c>
      <c r="S133" s="166" t="b">
        <f>IF(AND(G133&gt;0,G133&lt;3),(ISERROR(VLOOKUP(R133,R$112:R132,1,FALSE))),FALSE)</f>
        <v>0</v>
      </c>
      <c r="T133" s="166" t="str">
        <f t="shared" si="89"/>
        <v/>
      </c>
      <c r="U133" s="9"/>
      <c r="V133" s="9"/>
      <c r="W133" s="9"/>
      <c r="X133" s="37"/>
      <c r="Y133" s="9"/>
      <c r="Z133" s="9"/>
      <c r="AD133" s="27"/>
      <c r="AH133"/>
      <c r="AJ133"/>
      <c r="AK133"/>
      <c r="AL133"/>
      <c r="AN133"/>
      <c r="AO133" s="1"/>
      <c r="AP133" s="1"/>
      <c r="AQ133" s="1"/>
      <c r="AR133" s="1"/>
      <c r="AY133"/>
      <c r="AZ133"/>
      <c r="BA133"/>
      <c r="BB133"/>
      <c r="BE133" s="1"/>
      <c r="BF133" s="1"/>
      <c r="BN133"/>
      <c r="BO133"/>
    </row>
    <row r="134" spans="1:67" ht="13.5" hidden="1" x14ac:dyDescent="0.25">
      <c r="A134" s="259"/>
      <c r="B134" s="136" t="str">
        <f t="shared" si="78"/>
        <v/>
      </c>
      <c r="C134" s="133" t="str">
        <f t="shared" si="79"/>
        <v/>
      </c>
      <c r="D134" s="128" t="str">
        <f t="shared" si="80"/>
        <v/>
      </c>
      <c r="E134" s="128" t="str">
        <f t="shared" si="81"/>
        <v/>
      </c>
      <c r="F134" s="128"/>
      <c r="G134" s="128">
        <f t="shared" si="82"/>
        <v>0</v>
      </c>
      <c r="H134" s="128" t="str">
        <f t="shared" si="83"/>
        <v/>
      </c>
      <c r="I134" s="128"/>
      <c r="J134" s="128">
        <f t="shared" si="84"/>
        <v>0</v>
      </c>
      <c r="K134" s="146" t="str">
        <f t="shared" si="90"/>
        <v/>
      </c>
      <c r="L134" s="145" t="b">
        <f>IF(G134&gt;3,(ISERROR(VLOOKUP(K134,K$112:K133,1,FALSE))),FALSE)</f>
        <v>0</v>
      </c>
      <c r="M134" s="145" t="str">
        <f t="shared" si="85"/>
        <v/>
      </c>
      <c r="N134" s="9"/>
      <c r="O134" s="151" t="str">
        <f t="shared" si="86"/>
        <v/>
      </c>
      <c r="P134" s="151" t="b">
        <f>IF(J134&gt;2,(ISERROR(VLOOKUP(O134,O$112:O133,1,FALSE))),FALSE)</f>
        <v>0</v>
      </c>
      <c r="Q134" s="151" t="str">
        <f t="shared" si="87"/>
        <v/>
      </c>
      <c r="R134" s="166" t="str">
        <f t="shared" si="88"/>
        <v/>
      </c>
      <c r="S134" s="166" t="b">
        <f>IF(AND(G134&gt;0,G134&lt;3),(ISERROR(VLOOKUP(R134,R$112:R133,1,FALSE))),FALSE)</f>
        <v>0</v>
      </c>
      <c r="T134" s="166" t="str">
        <f t="shared" si="89"/>
        <v/>
      </c>
      <c r="U134" s="9"/>
      <c r="V134" s="9"/>
      <c r="W134" s="9"/>
      <c r="X134" s="37"/>
      <c r="Y134" s="9"/>
      <c r="Z134" s="9"/>
      <c r="AD134" s="27"/>
      <c r="AH134"/>
      <c r="AJ134"/>
      <c r="AK134"/>
      <c r="AL134"/>
      <c r="AN134"/>
      <c r="AO134" s="1"/>
      <c r="AP134" s="1"/>
      <c r="AQ134" s="1"/>
      <c r="AR134" s="1"/>
      <c r="AY134"/>
      <c r="AZ134"/>
      <c r="BA134"/>
      <c r="BB134"/>
      <c r="BE134" s="1"/>
      <c r="BF134" s="1"/>
      <c r="BN134"/>
      <c r="BO134"/>
    </row>
    <row r="135" spans="1:67" ht="13.5" hidden="1" x14ac:dyDescent="0.25">
      <c r="A135" s="259"/>
      <c r="B135" s="136" t="str">
        <f t="shared" si="78"/>
        <v/>
      </c>
      <c r="C135" s="133" t="str">
        <f t="shared" si="79"/>
        <v/>
      </c>
      <c r="D135" s="128" t="str">
        <f t="shared" si="80"/>
        <v/>
      </c>
      <c r="E135" s="128" t="str">
        <f t="shared" si="81"/>
        <v/>
      </c>
      <c r="F135" s="128"/>
      <c r="G135" s="128">
        <f t="shared" si="82"/>
        <v>0</v>
      </c>
      <c r="H135" s="128" t="str">
        <f t="shared" si="83"/>
        <v/>
      </c>
      <c r="I135" s="128"/>
      <c r="J135" s="128">
        <f t="shared" si="84"/>
        <v>0</v>
      </c>
      <c r="K135" s="146" t="str">
        <f t="shared" si="90"/>
        <v/>
      </c>
      <c r="L135" s="145" t="b">
        <f>IF(G135&gt;3,(ISERROR(VLOOKUP(K135,K$112:K134,1,FALSE))),FALSE)</f>
        <v>0</v>
      </c>
      <c r="M135" s="145" t="str">
        <f t="shared" si="85"/>
        <v/>
      </c>
      <c r="N135" s="9"/>
      <c r="O135" s="151" t="str">
        <f t="shared" si="86"/>
        <v/>
      </c>
      <c r="P135" s="151" t="b">
        <f>IF(J135&gt;2,(ISERROR(VLOOKUP(O135,O$112:O134,1,FALSE))),FALSE)</f>
        <v>0</v>
      </c>
      <c r="Q135" s="151" t="str">
        <f t="shared" si="87"/>
        <v/>
      </c>
      <c r="R135" s="166" t="str">
        <f t="shared" si="88"/>
        <v/>
      </c>
      <c r="S135" s="166" t="b">
        <f>IF(AND(G135&gt;0,G135&lt;3),(ISERROR(VLOOKUP(R135,R$112:R134,1,FALSE))),FALSE)</f>
        <v>0</v>
      </c>
      <c r="T135" s="166" t="str">
        <f t="shared" si="89"/>
        <v/>
      </c>
      <c r="U135" s="9"/>
      <c r="V135" s="9"/>
      <c r="W135" s="9"/>
      <c r="X135" s="37"/>
      <c r="Y135" s="9"/>
      <c r="Z135" s="9"/>
      <c r="AD135" s="27"/>
      <c r="AH135"/>
      <c r="AJ135"/>
      <c r="AK135"/>
      <c r="AL135"/>
      <c r="AN135"/>
      <c r="AO135" s="1"/>
      <c r="AP135" s="1"/>
      <c r="AQ135" s="1"/>
      <c r="AR135" s="1"/>
      <c r="AY135"/>
      <c r="AZ135"/>
      <c r="BA135"/>
      <c r="BB135"/>
      <c r="BE135" s="1"/>
      <c r="BF135" s="1"/>
      <c r="BN135"/>
      <c r="BO135"/>
    </row>
    <row r="136" spans="1:67" ht="13.5" hidden="1" x14ac:dyDescent="0.25">
      <c r="A136" s="259"/>
      <c r="B136" s="136" t="str">
        <f t="shared" si="78"/>
        <v/>
      </c>
      <c r="C136" s="133" t="str">
        <f t="shared" si="79"/>
        <v/>
      </c>
      <c r="D136" s="128" t="str">
        <f t="shared" si="80"/>
        <v/>
      </c>
      <c r="E136" s="128" t="str">
        <f t="shared" si="81"/>
        <v/>
      </c>
      <c r="F136" s="128"/>
      <c r="G136" s="128">
        <f t="shared" si="82"/>
        <v>0</v>
      </c>
      <c r="H136" s="128" t="str">
        <f t="shared" si="83"/>
        <v/>
      </c>
      <c r="I136" s="128"/>
      <c r="J136" s="128">
        <f t="shared" si="84"/>
        <v>0</v>
      </c>
      <c r="K136" s="146" t="str">
        <f t="shared" si="90"/>
        <v/>
      </c>
      <c r="L136" s="145" t="b">
        <f>IF(G136&gt;3,(ISERROR(VLOOKUP(K136,K$112:K135,1,FALSE))),FALSE)</f>
        <v>0</v>
      </c>
      <c r="M136" s="145" t="str">
        <f t="shared" si="85"/>
        <v/>
      </c>
      <c r="N136" s="9"/>
      <c r="O136" s="151" t="str">
        <f t="shared" si="86"/>
        <v/>
      </c>
      <c r="P136" s="151" t="b">
        <f>IF(J136&gt;2,(ISERROR(VLOOKUP(O136,O$112:O135,1,FALSE))),FALSE)</f>
        <v>0</v>
      </c>
      <c r="Q136" s="151" t="str">
        <f t="shared" si="87"/>
        <v/>
      </c>
      <c r="R136" s="166" t="str">
        <f t="shared" si="88"/>
        <v/>
      </c>
      <c r="S136" s="166" t="b">
        <f>IF(AND(G136&gt;0,G136&lt;3),(ISERROR(VLOOKUP(R136,R$112:R135,1,FALSE))),FALSE)</f>
        <v>0</v>
      </c>
      <c r="T136" s="166" t="str">
        <f t="shared" si="89"/>
        <v/>
      </c>
      <c r="U136" s="9"/>
      <c r="V136" s="9"/>
      <c r="W136" s="9"/>
      <c r="X136" s="37"/>
      <c r="Y136" s="9"/>
      <c r="Z136" s="9"/>
      <c r="AD136" s="27"/>
      <c r="AH136"/>
      <c r="AJ136"/>
      <c r="AK136"/>
      <c r="AL136"/>
      <c r="AN136"/>
      <c r="AO136" s="1"/>
      <c r="AP136" s="1"/>
      <c r="AQ136" s="1"/>
      <c r="AR136" s="1"/>
      <c r="AY136"/>
      <c r="AZ136"/>
      <c r="BA136"/>
      <c r="BB136"/>
      <c r="BE136" s="1"/>
      <c r="BF136" s="1"/>
      <c r="BN136"/>
      <c r="BO136"/>
    </row>
    <row r="137" spans="1:67" ht="13.5" hidden="1" x14ac:dyDescent="0.25">
      <c r="A137" s="259"/>
      <c r="B137" s="136" t="str">
        <f t="shared" si="78"/>
        <v/>
      </c>
      <c r="C137" s="133" t="str">
        <f t="shared" si="79"/>
        <v/>
      </c>
      <c r="D137" s="128" t="str">
        <f t="shared" si="80"/>
        <v/>
      </c>
      <c r="E137" s="128" t="str">
        <f t="shared" si="81"/>
        <v/>
      </c>
      <c r="F137" s="128"/>
      <c r="G137" s="128">
        <f t="shared" si="82"/>
        <v>0</v>
      </c>
      <c r="H137" s="128" t="str">
        <f t="shared" si="83"/>
        <v/>
      </c>
      <c r="I137" s="128"/>
      <c r="J137" s="128">
        <f t="shared" si="84"/>
        <v>0</v>
      </c>
      <c r="K137" s="146" t="str">
        <f t="shared" si="90"/>
        <v/>
      </c>
      <c r="L137" s="145" t="b">
        <f>IF(G137&gt;3,(ISERROR(VLOOKUP(K137,K$112:K136,1,FALSE))),FALSE)</f>
        <v>0</v>
      </c>
      <c r="M137" s="145" t="str">
        <f t="shared" si="85"/>
        <v/>
      </c>
      <c r="N137" s="9"/>
      <c r="O137" s="151" t="str">
        <f t="shared" si="86"/>
        <v/>
      </c>
      <c r="P137" s="151" t="b">
        <f>IF(J137&gt;2,(ISERROR(VLOOKUP(O137,O$112:O136,1,FALSE))),FALSE)</f>
        <v>0</v>
      </c>
      <c r="Q137" s="151" t="str">
        <f t="shared" si="87"/>
        <v/>
      </c>
      <c r="R137" s="166" t="str">
        <f t="shared" si="88"/>
        <v/>
      </c>
      <c r="S137" s="166" t="b">
        <f>IF(AND(G137&gt;0,G137&lt;3),(ISERROR(VLOOKUP(R137,R$112:R136,1,FALSE))),FALSE)</f>
        <v>0</v>
      </c>
      <c r="T137" s="166" t="str">
        <f t="shared" si="89"/>
        <v/>
      </c>
      <c r="U137" s="9"/>
      <c r="V137" s="9"/>
      <c r="W137" s="9"/>
      <c r="X137" s="37"/>
      <c r="Y137" s="9"/>
      <c r="Z137" s="9"/>
      <c r="AD137" s="27"/>
      <c r="AH137"/>
      <c r="AJ137"/>
      <c r="AK137"/>
      <c r="AL137"/>
      <c r="AN137"/>
      <c r="AO137" s="1"/>
      <c r="AP137" s="1"/>
      <c r="AQ137" s="1"/>
      <c r="AR137" s="1"/>
      <c r="AY137"/>
      <c r="AZ137"/>
      <c r="BA137"/>
      <c r="BB137"/>
      <c r="BE137" s="1"/>
      <c r="BF137" s="1"/>
      <c r="BN137"/>
      <c r="BO137"/>
    </row>
    <row r="138" spans="1:67" ht="14.25" hidden="1" thickBot="1" x14ac:dyDescent="0.3">
      <c r="A138" s="259"/>
      <c r="B138" s="137" t="str">
        <f t="shared" si="78"/>
        <v/>
      </c>
      <c r="C138" s="138" t="str">
        <f t="shared" si="79"/>
        <v/>
      </c>
      <c r="D138" s="129" t="str">
        <f t="shared" si="80"/>
        <v/>
      </c>
      <c r="E138" s="129" t="str">
        <f t="shared" si="81"/>
        <v/>
      </c>
      <c r="F138" s="129"/>
      <c r="G138" s="129">
        <f t="shared" si="82"/>
        <v>0</v>
      </c>
      <c r="H138" s="129" t="str">
        <f t="shared" si="83"/>
        <v/>
      </c>
      <c r="I138" s="129"/>
      <c r="J138" s="129">
        <f t="shared" si="84"/>
        <v>0</v>
      </c>
      <c r="K138" s="146" t="str">
        <f t="shared" si="90"/>
        <v/>
      </c>
      <c r="L138" s="145" t="b">
        <f>IF(G138&gt;3,(ISERROR(VLOOKUP(K138,K$112:K137,1,FALSE))),FALSE)</f>
        <v>0</v>
      </c>
      <c r="M138" s="145" t="str">
        <f t="shared" si="85"/>
        <v/>
      </c>
      <c r="N138" s="9"/>
      <c r="O138" s="151" t="str">
        <f t="shared" si="86"/>
        <v/>
      </c>
      <c r="P138" s="151" t="b">
        <f>IF(J138&gt;2,(ISERROR(VLOOKUP(O138,O$112:O137,1,FALSE))),FALSE)</f>
        <v>0</v>
      </c>
      <c r="Q138" s="151" t="str">
        <f t="shared" si="87"/>
        <v/>
      </c>
      <c r="R138" s="166" t="str">
        <f t="shared" si="88"/>
        <v/>
      </c>
      <c r="S138" s="166" t="b">
        <f>IF(AND(G138&gt;0,G138&lt;3),(ISERROR(VLOOKUP(R138,R$112:R137,1,FALSE))),FALSE)</f>
        <v>0</v>
      </c>
      <c r="T138" s="166" t="str">
        <f t="shared" si="89"/>
        <v/>
      </c>
      <c r="U138" s="9"/>
      <c r="V138" s="9"/>
      <c r="W138" s="9"/>
      <c r="X138" s="37"/>
      <c r="Y138" s="9"/>
      <c r="Z138" s="9"/>
      <c r="AD138" s="27"/>
      <c r="AH138"/>
      <c r="AJ138"/>
      <c r="AK138"/>
      <c r="AL138"/>
      <c r="AN138"/>
      <c r="AO138" s="1"/>
      <c r="AP138" s="1"/>
      <c r="AQ138" s="1"/>
      <c r="AR138" s="1"/>
      <c r="AY138"/>
      <c r="AZ138"/>
      <c r="BA138"/>
      <c r="BB138"/>
      <c r="BE138" s="1"/>
      <c r="BF138" s="1"/>
      <c r="BN138"/>
      <c r="BO138"/>
    </row>
    <row r="139" spans="1:67" ht="13.5" hidden="1" thickBot="1" x14ac:dyDescent="0.25">
      <c r="A139" s="260"/>
      <c r="B139" s="31"/>
      <c r="C139" s="31"/>
      <c r="D139" s="31"/>
      <c r="E139" s="31"/>
      <c r="F139" s="31"/>
      <c r="G139" s="153"/>
      <c r="H139" s="31"/>
      <c r="I139" s="31"/>
      <c r="J139" s="31"/>
      <c r="K139" s="154"/>
      <c r="L139" s="155">
        <f>COUNTIF(L112:L138,TRUE)</f>
        <v>0</v>
      </c>
      <c r="M139" s="154" t="str">
        <f>CONCATENATE(M112,M113,M114,M115,M116,M117,M118,M119,M120,M121,M122,M123,M124,M125,M126,M127,M128,M129,M130,M131,M132,M133,M134,M135,M136,M137,M138)</f>
        <v/>
      </c>
      <c r="N139" s="31"/>
      <c r="O139" s="156"/>
      <c r="P139" s="157">
        <f>COUNTIF(P112:P138,TRUE)</f>
        <v>0</v>
      </c>
      <c r="Q139" s="156" t="str">
        <f>CONCATENATE(Q112,Q113,Q114,Q115,Q116,Q117,Q118,Q119,Q120,Q121,Q122,Q123,Q124,Q125,Q126,Q127,Q128,Q129,Q130,Q131,Q132,Q133,Q134,Q135,Q136,Q137,Q138)</f>
        <v/>
      </c>
      <c r="R139" s="167"/>
      <c r="S139" s="168">
        <f>COUNTIF(S112:S138,TRUE)</f>
        <v>0</v>
      </c>
      <c r="T139" s="167" t="str">
        <f>CONCATENATE(T112,T113,T114,T115,T116,T117,T118,T119,T120,T121,T122,T123,T124,T125,T126,T127,T128,T129,T130,T131,T132,T133,T134,T135,T136,T137,T138)</f>
        <v/>
      </c>
      <c r="U139" s="31"/>
      <c r="V139" s="31"/>
      <c r="W139" s="31"/>
      <c r="X139" s="43"/>
      <c r="Y139" s="9"/>
      <c r="Z139" s="9"/>
      <c r="AD139" s="27"/>
      <c r="AH139"/>
      <c r="AJ139"/>
      <c r="AK139"/>
      <c r="AL139"/>
      <c r="AN139"/>
      <c r="AO139" s="1"/>
      <c r="AP139" s="1"/>
      <c r="AQ139" s="1"/>
      <c r="AR139" s="1"/>
      <c r="AY139"/>
      <c r="AZ139"/>
      <c r="BA139"/>
      <c r="BB139"/>
      <c r="BE139" s="1"/>
      <c r="BF139" s="1"/>
      <c r="BN139"/>
      <c r="BO139"/>
    </row>
    <row r="140" spans="1:67" hidden="1" x14ac:dyDescent="0.2">
      <c r="J140" s="142"/>
      <c r="S140" s="9"/>
      <c r="T140" s="9"/>
      <c r="U140" s="9"/>
      <c r="V140" s="9"/>
      <c r="W140" s="9"/>
      <c r="X140" s="9"/>
      <c r="Y140" s="9"/>
      <c r="Z140" s="9"/>
      <c r="AD140" s="27"/>
      <c r="AH140"/>
      <c r="AJ140"/>
      <c r="AK140"/>
      <c r="AL140"/>
      <c r="AN140"/>
      <c r="AO140" s="1"/>
      <c r="AP140" s="1"/>
      <c r="AQ140" s="1"/>
      <c r="AR140" s="1"/>
      <c r="AY140"/>
      <c r="AZ140"/>
      <c r="BA140"/>
      <c r="BB140"/>
      <c r="BE140" s="1"/>
      <c r="BF140" s="1"/>
      <c r="BN140"/>
      <c r="BO140"/>
    </row>
    <row r="141" spans="1:67" hidden="1" x14ac:dyDescent="0.2">
      <c r="B141" s="132" t="s">
        <v>229</v>
      </c>
      <c r="AD141" s="27"/>
      <c r="AH141"/>
      <c r="AJ141"/>
      <c r="AK141"/>
      <c r="AL141"/>
      <c r="AN141"/>
      <c r="AO141" s="1"/>
      <c r="AP141" s="1"/>
      <c r="AQ141" s="1"/>
      <c r="AR141" s="1"/>
      <c r="AY141"/>
      <c r="AZ141"/>
      <c r="BA141"/>
      <c r="BB141"/>
      <c r="BE141" s="1"/>
      <c r="BF141" s="1"/>
      <c r="BN141"/>
      <c r="BO141"/>
    </row>
    <row r="142" spans="1:67" hidden="1" x14ac:dyDescent="0.2">
      <c r="D142" s="132" t="s">
        <v>243</v>
      </c>
      <c r="AD142" s="27"/>
      <c r="AH142"/>
      <c r="AJ142"/>
      <c r="AK142"/>
      <c r="AL142"/>
      <c r="AN142"/>
      <c r="AO142" s="1"/>
      <c r="AP142" s="1"/>
      <c r="AQ142" s="1"/>
      <c r="AR142" s="1"/>
      <c r="AY142"/>
      <c r="AZ142"/>
      <c r="BA142"/>
      <c r="BB142"/>
      <c r="BE142" s="1"/>
      <c r="BF142" s="1"/>
      <c r="BN142"/>
      <c r="BO142"/>
    </row>
    <row r="143" spans="1:67" hidden="1" x14ac:dyDescent="0.2">
      <c r="B143" s="82" t="s">
        <v>235</v>
      </c>
      <c r="D143" s="284" t="s">
        <v>230</v>
      </c>
      <c r="E143" s="285" t="s">
        <v>11</v>
      </c>
      <c r="F143" s="285"/>
      <c r="G143" s="285" t="s">
        <v>188</v>
      </c>
      <c r="H143" s="285" t="s">
        <v>231</v>
      </c>
      <c r="I143" s="285"/>
      <c r="J143" s="285" t="s">
        <v>232</v>
      </c>
      <c r="K143" s="285" t="s">
        <v>233</v>
      </c>
      <c r="L143" s="286" t="s">
        <v>234</v>
      </c>
      <c r="M143" s="287" t="s">
        <v>242</v>
      </c>
      <c r="N143" s="288" t="s">
        <v>239</v>
      </c>
      <c r="O143" s="287" t="s">
        <v>244</v>
      </c>
      <c r="P143" s="292" t="s">
        <v>247</v>
      </c>
      <c r="S143" s="293" t="s">
        <v>282</v>
      </c>
      <c r="T143" s="294"/>
      <c r="U143" s="294"/>
      <c r="AD143" s="27"/>
      <c r="AH143"/>
      <c r="AJ143"/>
      <c r="AK143"/>
      <c r="AL143"/>
      <c r="AN143"/>
      <c r="AO143" s="1"/>
      <c r="AP143" s="1"/>
      <c r="AQ143" s="1"/>
      <c r="AR143" s="1"/>
      <c r="AY143"/>
      <c r="AZ143"/>
      <c r="BA143"/>
      <c r="BB143"/>
      <c r="BE143" s="1"/>
      <c r="BF143" s="1"/>
      <c r="BN143"/>
      <c r="BO143"/>
    </row>
    <row r="144" spans="1:67" hidden="1" x14ac:dyDescent="0.2">
      <c r="B144" s="82">
        <v>1</v>
      </c>
      <c r="C144" s="1" t="s">
        <v>67</v>
      </c>
      <c r="D144" s="171">
        <f>COUNTIF(M$17:M$43,$C144)</f>
        <v>0</v>
      </c>
      <c r="E144" s="128">
        <f>COUNTIF(N$17:N$43,$C144)</f>
        <v>0</v>
      </c>
      <c r="F144" s="128"/>
      <c r="G144" s="128">
        <f>COUNTIF(O$17:O$43,$C144)</f>
        <v>0</v>
      </c>
      <c r="H144" s="128">
        <f>COUNTIF(P$17:P$43,$C144)</f>
        <v>0</v>
      </c>
      <c r="I144" s="128"/>
      <c r="J144" s="128">
        <f t="shared" ref="J144:J161" si="91">COUNTIF(Q$17:Q$43,$C144)</f>
        <v>0</v>
      </c>
      <c r="K144" s="128">
        <f t="shared" ref="K144:K161" si="92">COUNTIF(R$17:R$43,$C144)</f>
        <v>0</v>
      </c>
      <c r="L144" s="172">
        <f t="shared" ref="L144:L161" si="93">COUNTIF(T$17:T$43,$C144)</f>
        <v>0</v>
      </c>
      <c r="M144" s="188">
        <f t="shared" ref="M144:M161" si="94">SUM(D144:L144)</f>
        <v>0</v>
      </c>
      <c r="N144" s="188">
        <f t="shared" ref="N144:N161" si="95">COUNTIF(M144,"&gt;4")</f>
        <v>0</v>
      </c>
      <c r="O144" s="187" t="str">
        <f t="shared" ref="O144:O161" si="96">IF(N144=1,CONCATENATE(" Gun ",$B144," used too many times ; "),"")</f>
        <v/>
      </c>
      <c r="P144" s="199">
        <f t="shared" ref="P144:P161" si="97">IF(M144=1,1,0)</f>
        <v>0</v>
      </c>
      <c r="Q144" s="204" t="str">
        <f t="shared" ref="Q144:Q161" si="98">IF(M144=1,C144,"")</f>
        <v/>
      </c>
      <c r="R144" s="184" t="str">
        <f t="shared" ref="R144:R161" si="99">IF(M144=1,CONCATENATE("Gun ",B144," is shown as shared but used only once; "),"")</f>
        <v/>
      </c>
      <c r="S144" s="294">
        <f t="shared" ref="S144:S161" si="100">7-COUNTIF(D144:L144,0)</f>
        <v>0</v>
      </c>
      <c r="T144" s="294">
        <f t="shared" ref="T144:T161" si="101">IF(S144&gt;1,1,0)</f>
        <v>0</v>
      </c>
      <c r="U144" s="294" t="str">
        <f>IF(S144&gt;1,CONCATENATE("Gun ",B144," used in ",S144," classes"),"")</f>
        <v/>
      </c>
      <c r="AD144" s="27"/>
      <c r="AH144"/>
      <c r="AJ144"/>
      <c r="AK144"/>
      <c r="AL144"/>
      <c r="AN144"/>
      <c r="AO144" s="1"/>
      <c r="AP144" s="1"/>
      <c r="AQ144" s="1"/>
      <c r="AR144" s="1"/>
      <c r="AY144"/>
      <c r="AZ144"/>
      <c r="BA144"/>
      <c r="BB144"/>
      <c r="BE144" s="1"/>
      <c r="BF144" s="1"/>
      <c r="BN144"/>
      <c r="BO144"/>
    </row>
    <row r="145" spans="2:58" customFormat="1" hidden="1" x14ac:dyDescent="0.2">
      <c r="B145" s="82">
        <v>2</v>
      </c>
      <c r="C145" s="1" t="s">
        <v>66</v>
      </c>
      <c r="D145" s="171">
        <f t="shared" ref="D145:D161" si="102">COUNTIF(M$17:M$43,C145)</f>
        <v>0</v>
      </c>
      <c r="E145" s="128">
        <f t="shared" ref="E145:E161" si="103">COUNTIF(N$17:N$43,$C145)</f>
        <v>0</v>
      </c>
      <c r="F145" s="128"/>
      <c r="G145" s="128">
        <f t="shared" ref="G145:G161" si="104">COUNTIF(O$17:O$43,$C145)</f>
        <v>0</v>
      </c>
      <c r="H145" s="128">
        <f t="shared" ref="H145:H161" si="105">COUNTIF(P$17:P$43,$C145)</f>
        <v>0</v>
      </c>
      <c r="I145" s="128"/>
      <c r="J145" s="128">
        <f t="shared" si="91"/>
        <v>0</v>
      </c>
      <c r="K145" s="128">
        <f t="shared" si="92"/>
        <v>0</v>
      </c>
      <c r="L145" s="172">
        <f t="shared" si="93"/>
        <v>0</v>
      </c>
      <c r="M145" s="188">
        <f t="shared" si="94"/>
        <v>0</v>
      </c>
      <c r="N145" s="188">
        <f t="shared" si="95"/>
        <v>0</v>
      </c>
      <c r="O145" s="187" t="str">
        <f t="shared" si="96"/>
        <v/>
      </c>
      <c r="P145" s="199">
        <f t="shared" si="97"/>
        <v>0</v>
      </c>
      <c r="Q145" s="204" t="str">
        <f t="shared" si="98"/>
        <v/>
      </c>
      <c r="R145" s="184" t="str">
        <f t="shared" si="99"/>
        <v/>
      </c>
      <c r="S145" s="294">
        <f t="shared" si="100"/>
        <v>0</v>
      </c>
      <c r="T145" s="294">
        <f t="shared" si="101"/>
        <v>0</v>
      </c>
      <c r="U145" s="294" t="str">
        <f t="shared" ref="U145:U161" si="106">IF(S145&gt;1,CONCATENATE("Gun ",B145," used in ",S145," classes; "),"")</f>
        <v/>
      </c>
      <c r="AD145" s="27"/>
      <c r="AO145" s="1"/>
      <c r="AP145" s="1"/>
      <c r="AQ145" s="1"/>
      <c r="AR145" s="1"/>
      <c r="BE145" s="1"/>
      <c r="BF145" s="1"/>
    </row>
    <row r="146" spans="2:58" customFormat="1" hidden="1" x14ac:dyDescent="0.2">
      <c r="B146" s="82">
        <v>3</v>
      </c>
      <c r="C146" s="1" t="s">
        <v>65</v>
      </c>
      <c r="D146" s="171">
        <f t="shared" si="102"/>
        <v>0</v>
      </c>
      <c r="E146" s="128">
        <f t="shared" si="103"/>
        <v>0</v>
      </c>
      <c r="F146" s="128"/>
      <c r="G146" s="128">
        <f t="shared" si="104"/>
        <v>0</v>
      </c>
      <c r="H146" s="128">
        <f t="shared" si="105"/>
        <v>0</v>
      </c>
      <c r="I146" s="128"/>
      <c r="J146" s="128">
        <f t="shared" si="91"/>
        <v>0</v>
      </c>
      <c r="K146" s="128">
        <f t="shared" si="92"/>
        <v>0</v>
      </c>
      <c r="L146" s="172">
        <f t="shared" si="93"/>
        <v>0</v>
      </c>
      <c r="M146" s="188">
        <f t="shared" si="94"/>
        <v>0</v>
      </c>
      <c r="N146" s="188">
        <f t="shared" si="95"/>
        <v>0</v>
      </c>
      <c r="O146" s="187" t="str">
        <f t="shared" si="96"/>
        <v/>
      </c>
      <c r="P146" s="199">
        <f t="shared" si="97"/>
        <v>0</v>
      </c>
      <c r="Q146" s="204" t="str">
        <f t="shared" si="98"/>
        <v/>
      </c>
      <c r="R146" s="184" t="str">
        <f t="shared" si="99"/>
        <v/>
      </c>
      <c r="S146" s="294">
        <f t="shared" si="100"/>
        <v>0</v>
      </c>
      <c r="T146" s="294">
        <f t="shared" si="101"/>
        <v>0</v>
      </c>
      <c r="U146" s="294" t="str">
        <f t="shared" si="106"/>
        <v/>
      </c>
      <c r="AD146" s="27"/>
      <c r="AO146" s="1"/>
      <c r="AP146" s="1"/>
      <c r="AQ146" s="1"/>
      <c r="AR146" s="1"/>
      <c r="BE146" s="1"/>
      <c r="BF146" s="1"/>
    </row>
    <row r="147" spans="2:58" customFormat="1" hidden="1" x14ac:dyDescent="0.2">
      <c r="B147" s="82">
        <v>4</v>
      </c>
      <c r="C147" s="1" t="s">
        <v>64</v>
      </c>
      <c r="D147" s="171">
        <f t="shared" si="102"/>
        <v>0</v>
      </c>
      <c r="E147" s="128">
        <f t="shared" si="103"/>
        <v>0</v>
      </c>
      <c r="F147" s="128"/>
      <c r="G147" s="128">
        <f t="shared" si="104"/>
        <v>0</v>
      </c>
      <c r="H147" s="128">
        <f t="shared" si="105"/>
        <v>0</v>
      </c>
      <c r="I147" s="128"/>
      <c r="J147" s="128">
        <f t="shared" si="91"/>
        <v>0</v>
      </c>
      <c r="K147" s="128">
        <f t="shared" si="92"/>
        <v>0</v>
      </c>
      <c r="L147" s="172">
        <f t="shared" si="93"/>
        <v>0</v>
      </c>
      <c r="M147" s="188">
        <f t="shared" si="94"/>
        <v>0</v>
      </c>
      <c r="N147" s="188">
        <f t="shared" si="95"/>
        <v>0</v>
      </c>
      <c r="O147" s="187" t="str">
        <f t="shared" si="96"/>
        <v/>
      </c>
      <c r="P147" s="199">
        <f t="shared" si="97"/>
        <v>0</v>
      </c>
      <c r="Q147" s="204" t="str">
        <f t="shared" si="98"/>
        <v/>
      </c>
      <c r="R147" s="184" t="str">
        <f t="shared" si="99"/>
        <v/>
      </c>
      <c r="S147" s="294">
        <f t="shared" si="100"/>
        <v>0</v>
      </c>
      <c r="T147" s="294">
        <f t="shared" si="101"/>
        <v>0</v>
      </c>
      <c r="U147" s="294" t="str">
        <f t="shared" si="106"/>
        <v/>
      </c>
      <c r="AD147" s="27"/>
      <c r="AO147" s="1"/>
      <c r="AP147" s="1"/>
      <c r="AQ147" s="1"/>
      <c r="AR147" s="1"/>
      <c r="BE147" s="1"/>
      <c r="BF147" s="1"/>
    </row>
    <row r="148" spans="2:58" customFormat="1" hidden="1" x14ac:dyDescent="0.2">
      <c r="B148" s="82">
        <v>5</v>
      </c>
      <c r="C148" s="1" t="s">
        <v>63</v>
      </c>
      <c r="D148" s="171">
        <f t="shared" si="102"/>
        <v>0</v>
      </c>
      <c r="E148" s="128">
        <f t="shared" si="103"/>
        <v>0</v>
      </c>
      <c r="F148" s="128"/>
      <c r="G148" s="128">
        <f t="shared" si="104"/>
        <v>0</v>
      </c>
      <c r="H148" s="128">
        <f t="shared" si="105"/>
        <v>0</v>
      </c>
      <c r="I148" s="128"/>
      <c r="J148" s="128">
        <f t="shared" si="91"/>
        <v>0</v>
      </c>
      <c r="K148" s="128">
        <f t="shared" si="92"/>
        <v>0</v>
      </c>
      <c r="L148" s="172">
        <f t="shared" si="93"/>
        <v>0</v>
      </c>
      <c r="M148" s="188">
        <f t="shared" si="94"/>
        <v>0</v>
      </c>
      <c r="N148" s="188">
        <f t="shared" si="95"/>
        <v>0</v>
      </c>
      <c r="O148" s="187" t="str">
        <f t="shared" si="96"/>
        <v/>
      </c>
      <c r="P148" s="199">
        <f t="shared" si="97"/>
        <v>0</v>
      </c>
      <c r="Q148" s="204" t="str">
        <f t="shared" si="98"/>
        <v/>
      </c>
      <c r="R148" s="184" t="str">
        <f t="shared" si="99"/>
        <v/>
      </c>
      <c r="S148" s="294">
        <f t="shared" si="100"/>
        <v>0</v>
      </c>
      <c r="T148" s="294">
        <f t="shared" si="101"/>
        <v>0</v>
      </c>
      <c r="U148" s="294" t="str">
        <f t="shared" si="106"/>
        <v/>
      </c>
      <c r="AD148" s="27"/>
      <c r="AO148" s="1"/>
      <c r="AP148" s="1"/>
      <c r="AQ148" s="1"/>
      <c r="AR148" s="1"/>
      <c r="BE148" s="1"/>
      <c r="BF148" s="1"/>
    </row>
    <row r="149" spans="2:58" customFormat="1" hidden="1" x14ac:dyDescent="0.2">
      <c r="B149" s="82">
        <v>6</v>
      </c>
      <c r="C149" s="1" t="s">
        <v>62</v>
      </c>
      <c r="D149" s="171">
        <f t="shared" si="102"/>
        <v>0</v>
      </c>
      <c r="E149" s="128">
        <f t="shared" si="103"/>
        <v>0</v>
      </c>
      <c r="F149" s="128"/>
      <c r="G149" s="128">
        <f t="shared" si="104"/>
        <v>0</v>
      </c>
      <c r="H149" s="128">
        <f t="shared" si="105"/>
        <v>0</v>
      </c>
      <c r="I149" s="128"/>
      <c r="J149" s="128">
        <f t="shared" si="91"/>
        <v>0</v>
      </c>
      <c r="K149" s="128">
        <f t="shared" si="92"/>
        <v>0</v>
      </c>
      <c r="L149" s="172">
        <f t="shared" si="93"/>
        <v>0</v>
      </c>
      <c r="M149" s="188">
        <f t="shared" si="94"/>
        <v>0</v>
      </c>
      <c r="N149" s="188">
        <f t="shared" si="95"/>
        <v>0</v>
      </c>
      <c r="O149" s="187" t="str">
        <f t="shared" si="96"/>
        <v/>
      </c>
      <c r="P149" s="199">
        <f t="shared" si="97"/>
        <v>0</v>
      </c>
      <c r="Q149" s="204" t="str">
        <f t="shared" si="98"/>
        <v/>
      </c>
      <c r="R149" s="184" t="str">
        <f t="shared" si="99"/>
        <v/>
      </c>
      <c r="S149" s="294">
        <f t="shared" si="100"/>
        <v>0</v>
      </c>
      <c r="T149" s="294">
        <f t="shared" si="101"/>
        <v>0</v>
      </c>
      <c r="U149" s="294" t="str">
        <f t="shared" si="106"/>
        <v/>
      </c>
      <c r="AD149" s="27"/>
      <c r="AO149" s="1"/>
      <c r="AP149" s="1"/>
      <c r="AQ149" s="1"/>
      <c r="AR149" s="1"/>
      <c r="BE149" s="1"/>
      <c r="BF149" s="1"/>
    </row>
    <row r="150" spans="2:58" customFormat="1" hidden="1" x14ac:dyDescent="0.2">
      <c r="B150" s="82">
        <v>7</v>
      </c>
      <c r="C150" s="1" t="s">
        <v>61</v>
      </c>
      <c r="D150" s="171">
        <f t="shared" si="102"/>
        <v>0</v>
      </c>
      <c r="E150" s="128">
        <f t="shared" si="103"/>
        <v>0</v>
      </c>
      <c r="F150" s="128"/>
      <c r="G150" s="128">
        <f t="shared" si="104"/>
        <v>0</v>
      </c>
      <c r="H150" s="128">
        <f t="shared" si="105"/>
        <v>0</v>
      </c>
      <c r="I150" s="128"/>
      <c r="J150" s="128">
        <f t="shared" si="91"/>
        <v>0</v>
      </c>
      <c r="K150" s="128">
        <f t="shared" si="92"/>
        <v>0</v>
      </c>
      <c r="L150" s="172">
        <f t="shared" si="93"/>
        <v>0</v>
      </c>
      <c r="M150" s="188">
        <f t="shared" si="94"/>
        <v>0</v>
      </c>
      <c r="N150" s="188">
        <f t="shared" si="95"/>
        <v>0</v>
      </c>
      <c r="O150" s="187" t="str">
        <f t="shared" si="96"/>
        <v/>
      </c>
      <c r="P150" s="199">
        <f t="shared" si="97"/>
        <v>0</v>
      </c>
      <c r="Q150" s="204" t="str">
        <f t="shared" si="98"/>
        <v/>
      </c>
      <c r="R150" s="184" t="str">
        <f t="shared" si="99"/>
        <v/>
      </c>
      <c r="S150" s="294">
        <f t="shared" si="100"/>
        <v>0</v>
      </c>
      <c r="T150" s="294">
        <f t="shared" si="101"/>
        <v>0</v>
      </c>
      <c r="U150" s="294" t="str">
        <f t="shared" si="106"/>
        <v/>
      </c>
      <c r="AD150" s="27"/>
      <c r="AO150" s="1"/>
      <c r="AP150" s="1"/>
      <c r="AQ150" s="1"/>
      <c r="AR150" s="1"/>
      <c r="BE150" s="1"/>
      <c r="BF150" s="1"/>
    </row>
    <row r="151" spans="2:58" customFormat="1" hidden="1" x14ac:dyDescent="0.2">
      <c r="B151" s="82">
        <v>8</v>
      </c>
      <c r="C151" s="1" t="s">
        <v>60</v>
      </c>
      <c r="D151" s="171">
        <f t="shared" si="102"/>
        <v>0</v>
      </c>
      <c r="E151" s="128">
        <f t="shared" si="103"/>
        <v>0</v>
      </c>
      <c r="F151" s="128"/>
      <c r="G151" s="128">
        <f t="shared" si="104"/>
        <v>0</v>
      </c>
      <c r="H151" s="128">
        <f t="shared" si="105"/>
        <v>0</v>
      </c>
      <c r="I151" s="128"/>
      <c r="J151" s="128">
        <f t="shared" si="91"/>
        <v>0</v>
      </c>
      <c r="K151" s="128">
        <f t="shared" si="92"/>
        <v>0</v>
      </c>
      <c r="L151" s="172">
        <f t="shared" si="93"/>
        <v>0</v>
      </c>
      <c r="M151" s="188">
        <f t="shared" si="94"/>
        <v>0</v>
      </c>
      <c r="N151" s="188">
        <f t="shared" si="95"/>
        <v>0</v>
      </c>
      <c r="O151" s="187" t="str">
        <f t="shared" si="96"/>
        <v/>
      </c>
      <c r="P151" s="199">
        <f t="shared" si="97"/>
        <v>0</v>
      </c>
      <c r="Q151" s="204" t="str">
        <f t="shared" si="98"/>
        <v/>
      </c>
      <c r="R151" s="184" t="str">
        <f t="shared" si="99"/>
        <v/>
      </c>
      <c r="S151" s="294">
        <f t="shared" si="100"/>
        <v>0</v>
      </c>
      <c r="T151" s="294">
        <f t="shared" si="101"/>
        <v>0</v>
      </c>
      <c r="U151" s="294" t="str">
        <f t="shared" si="106"/>
        <v/>
      </c>
      <c r="AD151" s="27"/>
      <c r="AO151" s="1"/>
      <c r="AP151" s="1"/>
      <c r="AQ151" s="1"/>
      <c r="AR151" s="1"/>
      <c r="BE151" s="1"/>
      <c r="BF151" s="1"/>
    </row>
    <row r="152" spans="2:58" customFormat="1" hidden="1" x14ac:dyDescent="0.2">
      <c r="B152" s="82">
        <v>9</v>
      </c>
      <c r="C152" s="1" t="s">
        <v>59</v>
      </c>
      <c r="D152" s="171">
        <f t="shared" si="102"/>
        <v>0</v>
      </c>
      <c r="E152" s="128">
        <f t="shared" si="103"/>
        <v>0</v>
      </c>
      <c r="F152" s="128"/>
      <c r="G152" s="128">
        <f t="shared" si="104"/>
        <v>0</v>
      </c>
      <c r="H152" s="128">
        <f t="shared" si="105"/>
        <v>0</v>
      </c>
      <c r="I152" s="128"/>
      <c r="J152" s="128">
        <f t="shared" si="91"/>
        <v>0</v>
      </c>
      <c r="K152" s="128">
        <f t="shared" si="92"/>
        <v>0</v>
      </c>
      <c r="L152" s="172">
        <f t="shared" si="93"/>
        <v>0</v>
      </c>
      <c r="M152" s="188">
        <f t="shared" si="94"/>
        <v>0</v>
      </c>
      <c r="N152" s="188">
        <f t="shared" si="95"/>
        <v>0</v>
      </c>
      <c r="O152" s="187" t="str">
        <f t="shared" si="96"/>
        <v/>
      </c>
      <c r="P152" s="199">
        <f t="shared" si="97"/>
        <v>0</v>
      </c>
      <c r="Q152" s="204" t="str">
        <f t="shared" si="98"/>
        <v/>
      </c>
      <c r="R152" s="184" t="str">
        <f t="shared" si="99"/>
        <v/>
      </c>
      <c r="S152" s="294">
        <f t="shared" si="100"/>
        <v>0</v>
      </c>
      <c r="T152" s="294">
        <f t="shared" si="101"/>
        <v>0</v>
      </c>
      <c r="U152" s="294" t="str">
        <f t="shared" si="106"/>
        <v/>
      </c>
      <c r="AD152" s="27"/>
      <c r="AO152" s="1"/>
      <c r="AP152" s="1"/>
      <c r="AQ152" s="1"/>
      <c r="AR152" s="1"/>
      <c r="BE152" s="1"/>
      <c r="BF152" s="1"/>
    </row>
    <row r="153" spans="2:58" customFormat="1" hidden="1" x14ac:dyDescent="0.2">
      <c r="B153" s="82">
        <v>10</v>
      </c>
      <c r="C153" s="1" t="s">
        <v>58</v>
      </c>
      <c r="D153" s="171">
        <f t="shared" si="102"/>
        <v>0</v>
      </c>
      <c r="E153" s="128">
        <f t="shared" si="103"/>
        <v>0</v>
      </c>
      <c r="F153" s="128"/>
      <c r="G153" s="128">
        <f t="shared" si="104"/>
        <v>0</v>
      </c>
      <c r="H153" s="128">
        <f t="shared" si="105"/>
        <v>0</v>
      </c>
      <c r="I153" s="128"/>
      <c r="J153" s="128">
        <f t="shared" si="91"/>
        <v>0</v>
      </c>
      <c r="K153" s="128">
        <f t="shared" si="92"/>
        <v>0</v>
      </c>
      <c r="L153" s="172">
        <f t="shared" si="93"/>
        <v>0</v>
      </c>
      <c r="M153" s="188">
        <f t="shared" si="94"/>
        <v>0</v>
      </c>
      <c r="N153" s="188">
        <f t="shared" si="95"/>
        <v>0</v>
      </c>
      <c r="O153" s="187" t="str">
        <f t="shared" si="96"/>
        <v/>
      </c>
      <c r="P153" s="199">
        <f t="shared" si="97"/>
        <v>0</v>
      </c>
      <c r="Q153" s="204" t="str">
        <f t="shared" si="98"/>
        <v/>
      </c>
      <c r="R153" s="184" t="str">
        <f t="shared" si="99"/>
        <v/>
      </c>
      <c r="S153" s="294">
        <f t="shared" si="100"/>
        <v>0</v>
      </c>
      <c r="T153" s="294">
        <f t="shared" si="101"/>
        <v>0</v>
      </c>
      <c r="U153" s="294" t="str">
        <f t="shared" si="106"/>
        <v/>
      </c>
      <c r="AD153" s="27"/>
      <c r="AO153" s="1"/>
      <c r="AP153" s="1"/>
      <c r="AQ153" s="1"/>
      <c r="AR153" s="1"/>
      <c r="BE153" s="1"/>
      <c r="BF153" s="1"/>
    </row>
    <row r="154" spans="2:58" customFormat="1" hidden="1" x14ac:dyDescent="0.2">
      <c r="B154" s="82">
        <v>11</v>
      </c>
      <c r="C154" s="1" t="s">
        <v>57</v>
      </c>
      <c r="D154" s="171">
        <f t="shared" si="102"/>
        <v>0</v>
      </c>
      <c r="E154" s="128">
        <f t="shared" si="103"/>
        <v>0</v>
      </c>
      <c r="F154" s="128"/>
      <c r="G154" s="128">
        <f t="shared" si="104"/>
        <v>0</v>
      </c>
      <c r="H154" s="128">
        <f t="shared" si="105"/>
        <v>0</v>
      </c>
      <c r="I154" s="128"/>
      <c r="J154" s="128">
        <f t="shared" si="91"/>
        <v>0</v>
      </c>
      <c r="K154" s="128">
        <f t="shared" si="92"/>
        <v>0</v>
      </c>
      <c r="L154" s="172">
        <f t="shared" si="93"/>
        <v>0</v>
      </c>
      <c r="M154" s="188">
        <f t="shared" si="94"/>
        <v>0</v>
      </c>
      <c r="N154" s="188">
        <f t="shared" si="95"/>
        <v>0</v>
      </c>
      <c r="O154" s="187" t="str">
        <f t="shared" si="96"/>
        <v/>
      </c>
      <c r="P154" s="199">
        <f t="shared" si="97"/>
        <v>0</v>
      </c>
      <c r="Q154" s="204" t="str">
        <f t="shared" si="98"/>
        <v/>
      </c>
      <c r="R154" s="184" t="str">
        <f t="shared" si="99"/>
        <v/>
      </c>
      <c r="S154" s="294">
        <f t="shared" si="100"/>
        <v>0</v>
      </c>
      <c r="T154" s="294">
        <f t="shared" si="101"/>
        <v>0</v>
      </c>
      <c r="U154" s="294" t="str">
        <f t="shared" si="106"/>
        <v/>
      </c>
      <c r="AD154" s="27"/>
      <c r="AO154" s="1"/>
      <c r="AP154" s="1"/>
      <c r="AQ154" s="1"/>
      <c r="AR154" s="1"/>
      <c r="BE154" s="1"/>
      <c r="BF154" s="1"/>
    </row>
    <row r="155" spans="2:58" customFormat="1" hidden="1" x14ac:dyDescent="0.2">
      <c r="B155" s="82">
        <v>12</v>
      </c>
      <c r="C155" s="1" t="s">
        <v>56</v>
      </c>
      <c r="D155" s="171">
        <f t="shared" si="102"/>
        <v>0</v>
      </c>
      <c r="E155" s="128">
        <f t="shared" si="103"/>
        <v>0</v>
      </c>
      <c r="F155" s="128"/>
      <c r="G155" s="128">
        <f t="shared" si="104"/>
        <v>0</v>
      </c>
      <c r="H155" s="128">
        <f t="shared" si="105"/>
        <v>0</v>
      </c>
      <c r="I155" s="128"/>
      <c r="J155" s="128">
        <f t="shared" si="91"/>
        <v>0</v>
      </c>
      <c r="K155" s="128">
        <f t="shared" si="92"/>
        <v>0</v>
      </c>
      <c r="L155" s="172">
        <f t="shared" si="93"/>
        <v>0</v>
      </c>
      <c r="M155" s="188">
        <f t="shared" si="94"/>
        <v>0</v>
      </c>
      <c r="N155" s="188">
        <f t="shared" si="95"/>
        <v>0</v>
      </c>
      <c r="O155" s="187" t="str">
        <f t="shared" si="96"/>
        <v/>
      </c>
      <c r="P155" s="199">
        <f t="shared" si="97"/>
        <v>0</v>
      </c>
      <c r="Q155" s="204" t="str">
        <f t="shared" si="98"/>
        <v/>
      </c>
      <c r="R155" s="184" t="str">
        <f t="shared" si="99"/>
        <v/>
      </c>
      <c r="S155" s="294">
        <f t="shared" si="100"/>
        <v>0</v>
      </c>
      <c r="T155" s="294">
        <f t="shared" si="101"/>
        <v>0</v>
      </c>
      <c r="U155" s="294" t="str">
        <f t="shared" si="106"/>
        <v/>
      </c>
      <c r="AD155" s="27"/>
      <c r="AO155" s="1"/>
      <c r="AP155" s="1"/>
      <c r="AQ155" s="1"/>
      <c r="AR155" s="1"/>
      <c r="BE155" s="1"/>
      <c r="BF155" s="1"/>
    </row>
    <row r="156" spans="2:58" customFormat="1" hidden="1" x14ac:dyDescent="0.2">
      <c r="B156" s="82">
        <v>13</v>
      </c>
      <c r="C156" s="1" t="s">
        <v>44</v>
      </c>
      <c r="D156" s="171">
        <f t="shared" si="102"/>
        <v>0</v>
      </c>
      <c r="E156" s="128">
        <f t="shared" si="103"/>
        <v>0</v>
      </c>
      <c r="F156" s="128"/>
      <c r="G156" s="128">
        <f t="shared" si="104"/>
        <v>0</v>
      </c>
      <c r="H156" s="128">
        <f t="shared" si="105"/>
        <v>0</v>
      </c>
      <c r="I156" s="128"/>
      <c r="J156" s="128">
        <f t="shared" si="91"/>
        <v>0</v>
      </c>
      <c r="K156" s="128">
        <f t="shared" si="92"/>
        <v>0</v>
      </c>
      <c r="L156" s="172">
        <f t="shared" si="93"/>
        <v>0</v>
      </c>
      <c r="M156" s="188">
        <f t="shared" si="94"/>
        <v>0</v>
      </c>
      <c r="N156" s="188">
        <f t="shared" si="95"/>
        <v>0</v>
      </c>
      <c r="O156" s="187" t="str">
        <f t="shared" si="96"/>
        <v/>
      </c>
      <c r="P156" s="199">
        <f t="shared" si="97"/>
        <v>0</v>
      </c>
      <c r="Q156" s="204" t="str">
        <f t="shared" si="98"/>
        <v/>
      </c>
      <c r="R156" s="184" t="str">
        <f t="shared" si="99"/>
        <v/>
      </c>
      <c r="S156" s="294">
        <f t="shared" si="100"/>
        <v>0</v>
      </c>
      <c r="T156" s="294">
        <f t="shared" si="101"/>
        <v>0</v>
      </c>
      <c r="U156" s="294" t="str">
        <f t="shared" si="106"/>
        <v/>
      </c>
      <c r="AD156" s="27"/>
      <c r="AO156" s="1"/>
      <c r="AP156" s="1"/>
      <c r="AQ156" s="1"/>
      <c r="AR156" s="1"/>
      <c r="BE156" s="1"/>
      <c r="BF156" s="1"/>
    </row>
    <row r="157" spans="2:58" customFormat="1" hidden="1" x14ac:dyDescent="0.2">
      <c r="B157" s="82">
        <v>14</v>
      </c>
      <c r="C157" s="1" t="s">
        <v>45</v>
      </c>
      <c r="D157" s="171">
        <f t="shared" si="102"/>
        <v>0</v>
      </c>
      <c r="E157" s="128">
        <f t="shared" si="103"/>
        <v>0</v>
      </c>
      <c r="F157" s="128"/>
      <c r="G157" s="128">
        <f t="shared" si="104"/>
        <v>0</v>
      </c>
      <c r="H157" s="128">
        <f t="shared" si="105"/>
        <v>0</v>
      </c>
      <c r="I157" s="128"/>
      <c r="J157" s="128">
        <f t="shared" si="91"/>
        <v>0</v>
      </c>
      <c r="K157" s="128">
        <f t="shared" si="92"/>
        <v>0</v>
      </c>
      <c r="L157" s="172">
        <f t="shared" si="93"/>
        <v>0</v>
      </c>
      <c r="M157" s="188">
        <f t="shared" si="94"/>
        <v>0</v>
      </c>
      <c r="N157" s="188">
        <f t="shared" si="95"/>
        <v>0</v>
      </c>
      <c r="O157" s="187" t="str">
        <f t="shared" si="96"/>
        <v/>
      </c>
      <c r="P157" s="199">
        <f t="shared" si="97"/>
        <v>0</v>
      </c>
      <c r="Q157" s="204" t="str">
        <f t="shared" si="98"/>
        <v/>
      </c>
      <c r="R157" s="184" t="str">
        <f t="shared" si="99"/>
        <v/>
      </c>
      <c r="S157" s="294">
        <f t="shared" si="100"/>
        <v>0</v>
      </c>
      <c r="T157" s="294">
        <f t="shared" si="101"/>
        <v>0</v>
      </c>
      <c r="U157" s="294" t="str">
        <f t="shared" si="106"/>
        <v/>
      </c>
      <c r="AD157" s="27"/>
      <c r="AO157" s="1"/>
      <c r="AP157" s="1"/>
      <c r="AQ157" s="1"/>
      <c r="AR157" s="1"/>
      <c r="BE157" s="1"/>
      <c r="BF157" s="1"/>
    </row>
    <row r="158" spans="2:58" customFormat="1" hidden="1" x14ac:dyDescent="0.2">
      <c r="B158" s="82">
        <v>15</v>
      </c>
      <c r="C158" s="1" t="s">
        <v>46</v>
      </c>
      <c r="D158" s="171">
        <f t="shared" si="102"/>
        <v>0</v>
      </c>
      <c r="E158" s="128">
        <f t="shared" si="103"/>
        <v>0</v>
      </c>
      <c r="F158" s="128"/>
      <c r="G158" s="128">
        <f t="shared" si="104"/>
        <v>0</v>
      </c>
      <c r="H158" s="128">
        <f t="shared" si="105"/>
        <v>0</v>
      </c>
      <c r="I158" s="128"/>
      <c r="J158" s="128">
        <f t="shared" si="91"/>
        <v>0</v>
      </c>
      <c r="K158" s="128">
        <f t="shared" si="92"/>
        <v>0</v>
      </c>
      <c r="L158" s="172">
        <f t="shared" si="93"/>
        <v>0</v>
      </c>
      <c r="M158" s="188">
        <f t="shared" si="94"/>
        <v>0</v>
      </c>
      <c r="N158" s="188">
        <f t="shared" si="95"/>
        <v>0</v>
      </c>
      <c r="O158" s="187" t="str">
        <f t="shared" si="96"/>
        <v/>
      </c>
      <c r="P158" s="199">
        <f t="shared" si="97"/>
        <v>0</v>
      </c>
      <c r="Q158" s="204" t="str">
        <f t="shared" si="98"/>
        <v/>
      </c>
      <c r="R158" s="184" t="str">
        <f t="shared" si="99"/>
        <v/>
      </c>
      <c r="S158" s="294">
        <f t="shared" si="100"/>
        <v>0</v>
      </c>
      <c r="T158" s="294">
        <f t="shared" si="101"/>
        <v>0</v>
      </c>
      <c r="U158" s="294" t="str">
        <f t="shared" si="106"/>
        <v/>
      </c>
      <c r="AD158" s="27"/>
      <c r="AO158" s="1"/>
      <c r="AP158" s="1"/>
      <c r="AQ158" s="1"/>
      <c r="AR158" s="1"/>
      <c r="BE158" s="1"/>
      <c r="BF158" s="1"/>
    </row>
    <row r="159" spans="2:58" customFormat="1" hidden="1" x14ac:dyDescent="0.2">
      <c r="B159" s="82">
        <v>16</v>
      </c>
      <c r="C159" s="1" t="s">
        <v>47</v>
      </c>
      <c r="D159" s="171">
        <f t="shared" si="102"/>
        <v>0</v>
      </c>
      <c r="E159" s="128">
        <f t="shared" si="103"/>
        <v>0</v>
      </c>
      <c r="F159" s="128"/>
      <c r="G159" s="128">
        <f t="shared" si="104"/>
        <v>0</v>
      </c>
      <c r="H159" s="128">
        <f t="shared" si="105"/>
        <v>0</v>
      </c>
      <c r="I159" s="128"/>
      <c r="J159" s="128">
        <f t="shared" si="91"/>
        <v>0</v>
      </c>
      <c r="K159" s="128">
        <f t="shared" si="92"/>
        <v>0</v>
      </c>
      <c r="L159" s="172">
        <f t="shared" si="93"/>
        <v>0</v>
      </c>
      <c r="M159" s="188">
        <f t="shared" si="94"/>
        <v>0</v>
      </c>
      <c r="N159" s="188">
        <f t="shared" si="95"/>
        <v>0</v>
      </c>
      <c r="O159" s="187" t="str">
        <f t="shared" si="96"/>
        <v/>
      </c>
      <c r="P159" s="199">
        <f t="shared" si="97"/>
        <v>0</v>
      </c>
      <c r="Q159" s="204" t="str">
        <f t="shared" si="98"/>
        <v/>
      </c>
      <c r="R159" s="184" t="str">
        <f t="shared" si="99"/>
        <v/>
      </c>
      <c r="S159" s="294">
        <f t="shared" si="100"/>
        <v>0</v>
      </c>
      <c r="T159" s="294">
        <f t="shared" si="101"/>
        <v>0</v>
      </c>
      <c r="U159" s="294" t="str">
        <f t="shared" si="106"/>
        <v/>
      </c>
      <c r="AD159" s="27"/>
      <c r="AO159" s="1"/>
      <c r="AP159" s="1"/>
      <c r="AQ159" s="1"/>
      <c r="AR159" s="1"/>
      <c r="BE159" s="1"/>
      <c r="BF159" s="1"/>
    </row>
    <row r="160" spans="2:58" customFormat="1" hidden="1" x14ac:dyDescent="0.2">
      <c r="B160" s="82">
        <v>17</v>
      </c>
      <c r="C160" s="1" t="s">
        <v>48</v>
      </c>
      <c r="D160" s="171">
        <f t="shared" si="102"/>
        <v>0</v>
      </c>
      <c r="E160" s="128">
        <f t="shared" si="103"/>
        <v>0</v>
      </c>
      <c r="F160" s="128"/>
      <c r="G160" s="128">
        <f t="shared" si="104"/>
        <v>0</v>
      </c>
      <c r="H160" s="128">
        <f t="shared" si="105"/>
        <v>0</v>
      </c>
      <c r="I160" s="128"/>
      <c r="J160" s="128">
        <f t="shared" si="91"/>
        <v>0</v>
      </c>
      <c r="K160" s="128">
        <f t="shared" si="92"/>
        <v>0</v>
      </c>
      <c r="L160" s="172">
        <f t="shared" si="93"/>
        <v>0</v>
      </c>
      <c r="M160" s="188">
        <f t="shared" si="94"/>
        <v>0</v>
      </c>
      <c r="N160" s="188">
        <f t="shared" si="95"/>
        <v>0</v>
      </c>
      <c r="O160" s="187" t="str">
        <f t="shared" si="96"/>
        <v/>
      </c>
      <c r="P160" s="199">
        <f t="shared" si="97"/>
        <v>0</v>
      </c>
      <c r="Q160" s="204" t="str">
        <f t="shared" si="98"/>
        <v/>
      </c>
      <c r="R160" s="184" t="str">
        <f t="shared" si="99"/>
        <v/>
      </c>
      <c r="S160" s="294">
        <f t="shared" si="100"/>
        <v>0</v>
      </c>
      <c r="T160" s="294">
        <f t="shared" si="101"/>
        <v>0</v>
      </c>
      <c r="U160" s="294" t="str">
        <f t="shared" si="106"/>
        <v/>
      </c>
      <c r="AD160" s="27"/>
      <c r="AO160" s="1"/>
      <c r="AP160" s="1"/>
      <c r="AQ160" s="1"/>
      <c r="AR160" s="1"/>
      <c r="BE160" s="1"/>
      <c r="BF160" s="1"/>
    </row>
    <row r="161" spans="1:67" ht="13.5" hidden="1" thickBot="1" x14ac:dyDescent="0.25">
      <c r="B161" s="82">
        <v>18</v>
      </c>
      <c r="C161" s="1" t="s">
        <v>49</v>
      </c>
      <c r="D161" s="173">
        <f t="shared" si="102"/>
        <v>0</v>
      </c>
      <c r="E161" s="174">
        <f t="shared" si="103"/>
        <v>0</v>
      </c>
      <c r="F161" s="174"/>
      <c r="G161" s="174">
        <f t="shared" si="104"/>
        <v>0</v>
      </c>
      <c r="H161" s="174">
        <f t="shared" si="105"/>
        <v>0</v>
      </c>
      <c r="I161" s="174"/>
      <c r="J161" s="174">
        <f t="shared" si="91"/>
        <v>0</v>
      </c>
      <c r="K161" s="174">
        <f t="shared" si="92"/>
        <v>0</v>
      </c>
      <c r="L161" s="175">
        <f t="shared" si="93"/>
        <v>0</v>
      </c>
      <c r="M161" s="188">
        <f t="shared" si="94"/>
        <v>0</v>
      </c>
      <c r="N161" s="188">
        <f t="shared" si="95"/>
        <v>0</v>
      </c>
      <c r="O161" s="187" t="str">
        <f t="shared" si="96"/>
        <v/>
      </c>
      <c r="P161" s="199">
        <f t="shared" si="97"/>
        <v>0</v>
      </c>
      <c r="Q161" s="204" t="str">
        <f t="shared" si="98"/>
        <v/>
      </c>
      <c r="R161" s="184" t="str">
        <f t="shared" si="99"/>
        <v/>
      </c>
      <c r="S161" s="294">
        <f t="shared" si="100"/>
        <v>0</v>
      </c>
      <c r="T161" s="294">
        <f t="shared" si="101"/>
        <v>0</v>
      </c>
      <c r="U161" s="294" t="str">
        <f t="shared" si="106"/>
        <v/>
      </c>
      <c r="AD161" s="27"/>
      <c r="AH161"/>
      <c r="AJ161"/>
      <c r="AK161"/>
      <c r="AL161"/>
      <c r="AN161"/>
      <c r="AO161" s="1"/>
      <c r="AP161" s="1"/>
      <c r="AQ161" s="1"/>
      <c r="AR161" s="1"/>
      <c r="AY161"/>
      <c r="AZ161"/>
      <c r="BA161"/>
      <c r="BB161"/>
      <c r="BE161" s="1"/>
      <c r="BF161" s="1"/>
      <c r="BN161"/>
      <c r="BO161"/>
    </row>
    <row r="162" spans="1:67" ht="13.5" hidden="1" thickBot="1" x14ac:dyDescent="0.25">
      <c r="N162" s="198">
        <f>SUM(N144:N161)</f>
        <v>0</v>
      </c>
      <c r="O162" s="187" t="str">
        <f>CONCATENATE(O144,O145,O146,O147,O148,O149,O150,O151,O152,O153,O154,O155,O156,O157,O158,O159,O160,O161,)</f>
        <v/>
      </c>
      <c r="P162" s="200">
        <f>SUM(P144:P161)</f>
        <v>0</v>
      </c>
      <c r="R162" s="185" t="str">
        <f>CONCATENATE(R144,R145,R146,R147,R148,R149,R150,R151,R152,R153,R154,R155,R156,R157,R158,R159,R160,R161,)</f>
        <v/>
      </c>
      <c r="S162" s="294"/>
      <c r="T162" s="294">
        <f>SUM(T144:T161)</f>
        <v>0</v>
      </c>
      <c r="U162" s="294" t="str">
        <f>IF(T162&gt;0,CONCATENATE(U144,U145,U146,U147,U148,U149,U150,U151,U152,U153,U154,U155,U156,U157,U158,U159,U160,U161),"")</f>
        <v/>
      </c>
      <c r="AD162" s="27"/>
      <c r="AH162"/>
      <c r="AJ162"/>
      <c r="AK162"/>
      <c r="AL162"/>
      <c r="AN162"/>
      <c r="AO162" s="1"/>
      <c r="AP162" s="1"/>
      <c r="AQ162" s="1"/>
      <c r="AR162" s="1"/>
      <c r="AY162"/>
      <c r="AZ162"/>
      <c r="BA162"/>
      <c r="BB162"/>
      <c r="BE162" s="1"/>
      <c r="BF162" s="1"/>
      <c r="BN162"/>
      <c r="BO162"/>
    </row>
    <row r="163" spans="1:67" hidden="1" x14ac:dyDescent="0.2">
      <c r="AD163" s="27"/>
      <c r="AH163"/>
      <c r="AJ163"/>
      <c r="AK163"/>
      <c r="AL163"/>
      <c r="AN163"/>
      <c r="AO163" s="1"/>
      <c r="AP163" s="1"/>
      <c r="AQ163" s="1"/>
      <c r="AR163" s="1"/>
      <c r="AY163"/>
      <c r="AZ163"/>
      <c r="BA163"/>
      <c r="BB163"/>
      <c r="BE163" s="1"/>
      <c r="BF163" s="1"/>
      <c r="BN163"/>
      <c r="BO163"/>
    </row>
    <row r="164" spans="1:67" hidden="1" x14ac:dyDescent="0.2">
      <c r="B164" s="132" t="s">
        <v>241</v>
      </c>
      <c r="AD164" s="27"/>
      <c r="AH164"/>
      <c r="AJ164"/>
      <c r="AK164"/>
      <c r="AL164"/>
      <c r="AN164"/>
      <c r="AO164" s="1"/>
      <c r="AP164" s="1"/>
      <c r="AQ164" s="1"/>
      <c r="AR164" s="1"/>
      <c r="AY164"/>
      <c r="AZ164"/>
      <c r="BA164"/>
      <c r="BB164"/>
      <c r="BE164" s="1"/>
      <c r="BF164" s="1"/>
      <c r="BN164"/>
      <c r="BO164"/>
    </row>
    <row r="165" spans="1:67" hidden="1" x14ac:dyDescent="0.2">
      <c r="B165" s="289" t="s">
        <v>236</v>
      </c>
      <c r="C165" s="290" t="s">
        <v>11</v>
      </c>
      <c r="D165" s="290" t="s">
        <v>237</v>
      </c>
      <c r="E165" s="290" t="s">
        <v>231</v>
      </c>
      <c r="F165" s="290"/>
      <c r="G165" s="290" t="s">
        <v>232</v>
      </c>
      <c r="H165" s="290" t="s">
        <v>238</v>
      </c>
      <c r="I165" s="290"/>
      <c r="J165" s="291" t="s">
        <v>234</v>
      </c>
      <c r="K165" s="192" t="s">
        <v>239</v>
      </c>
      <c r="N165" s="132" t="s">
        <v>241</v>
      </c>
      <c r="AD165" s="27"/>
      <c r="AH165"/>
      <c r="AJ165"/>
      <c r="AK165"/>
      <c r="AL165"/>
      <c r="AN165"/>
      <c r="AO165" s="1"/>
      <c r="AP165" s="1"/>
      <c r="AQ165" s="1"/>
      <c r="AR165" s="1"/>
      <c r="AY165"/>
      <c r="AZ165"/>
      <c r="BA165"/>
      <c r="BB165"/>
      <c r="BE165" s="1"/>
      <c r="BF165" s="1"/>
      <c r="BN165"/>
      <c r="BO165"/>
    </row>
    <row r="166" spans="1:67" hidden="1" x14ac:dyDescent="0.2">
      <c r="A166" s="283" t="s">
        <v>39</v>
      </c>
      <c r="B166" s="193">
        <v>4</v>
      </c>
      <c r="C166" s="193">
        <v>4</v>
      </c>
      <c r="D166" s="193">
        <v>4</v>
      </c>
      <c r="E166" s="193">
        <v>4</v>
      </c>
      <c r="F166" s="193"/>
      <c r="G166" s="193">
        <v>4</v>
      </c>
      <c r="H166" s="193">
        <v>2</v>
      </c>
      <c r="I166" s="193"/>
      <c r="J166" s="193">
        <v>3</v>
      </c>
      <c r="K166" s="193"/>
      <c r="N166" s="176" t="s">
        <v>236</v>
      </c>
      <c r="O166" s="177" t="s">
        <v>11</v>
      </c>
      <c r="P166" s="177" t="s">
        <v>237</v>
      </c>
      <c r="Q166" s="177" t="s">
        <v>231</v>
      </c>
      <c r="R166" s="177" t="s">
        <v>232</v>
      </c>
      <c r="S166" s="177" t="s">
        <v>238</v>
      </c>
      <c r="T166" s="170" t="s">
        <v>234</v>
      </c>
      <c r="U166" s="194" t="s">
        <v>239</v>
      </c>
      <c r="AD166" s="27"/>
      <c r="AH166"/>
      <c r="AJ166"/>
      <c r="AK166"/>
      <c r="AL166"/>
      <c r="AN166"/>
      <c r="AO166" s="1"/>
      <c r="AP166" s="1"/>
      <c r="AQ166" s="1"/>
      <c r="AR166" s="1"/>
      <c r="AY166"/>
      <c r="AZ166"/>
      <c r="BA166"/>
      <c r="BB166"/>
      <c r="BE166" s="1"/>
      <c r="BF166" s="1"/>
      <c r="BN166"/>
      <c r="BO166"/>
    </row>
    <row r="167" spans="1:67" hidden="1" x14ac:dyDescent="0.2">
      <c r="B167" s="278" t="str">
        <f>IF(D144&gt;B$166,1,"")</f>
        <v/>
      </c>
      <c r="C167" s="279" t="str">
        <f t="shared" ref="C167:C182" si="107">IF(E144&gt;C$166,1,"")</f>
        <v/>
      </c>
      <c r="D167" s="279" t="str">
        <f t="shared" ref="D167:D184" si="108">IF(G144&gt;D$166,1,"")</f>
        <v/>
      </c>
      <c r="E167" s="279" t="str">
        <f t="shared" ref="E167:E184" si="109">IF(H144&gt;E$166,1,"")</f>
        <v/>
      </c>
      <c r="F167" s="279"/>
      <c r="G167" s="279" t="str">
        <f t="shared" ref="G167:G184" si="110">IF(J144&gt;G$166,1,"")</f>
        <v/>
      </c>
      <c r="H167" s="279" t="str">
        <f t="shared" ref="H167:H184" si="111">IF(K144&gt;H$166,1,"")</f>
        <v/>
      </c>
      <c r="I167" s="279"/>
      <c r="J167" s="170" t="str">
        <f t="shared" ref="J167:J184" si="112">IF(L144&gt;J$166,1,"")</f>
        <v/>
      </c>
      <c r="K167" s="280">
        <f>SUM(B167:J167)</f>
        <v>0</v>
      </c>
      <c r="N167" s="178" t="str">
        <f t="shared" ref="N167:N184" si="113">IF(B167=1,CONCATENATE("Too many shooters using Gun ",$B144," in ",B$165,"; "),"")</f>
        <v/>
      </c>
      <c r="O167" s="9" t="str">
        <f t="shared" ref="O167:O184" si="114">IF(C167=1,CONCATENATE("Too many shooters using Gun ",$B144," in ",C$165,"; "),"")</f>
        <v/>
      </c>
      <c r="P167" s="9" t="str">
        <f t="shared" ref="P167:P184" si="115">IF(D167=1,CONCATENATE("Too many shooters using Gun ",$B144," in ",D$165,"; "),"")</f>
        <v/>
      </c>
      <c r="Q167" s="9" t="str">
        <f t="shared" ref="Q167:Q184" si="116">IF(E167=1,CONCATENATE("Too many shooters using Gun ",$B144," in ",E$165,"; "),"")</f>
        <v/>
      </c>
      <c r="R167" s="9" t="str">
        <f t="shared" ref="R167:R184" si="117">IF(G167=1,CONCATENATE("Too many shooters using Gun ",$B144," in ",G$165,"; "),"")</f>
        <v/>
      </c>
      <c r="S167" s="9" t="str">
        <f t="shared" ref="S167:S184" si="118">IF(H167=1,CONCATENATE("Too many shooters using Gun ",$B144," in ",H$165,"; "),"")</f>
        <v/>
      </c>
      <c r="T167" s="179" t="str">
        <f t="shared" ref="T167:T184" si="119">IF(J167=1,CONCATENATE("Too many shooters using Gun ",$B144," in ",J$165,"; "),"")</f>
        <v/>
      </c>
      <c r="U167" s="187" t="str">
        <f t="shared" ref="U167:U184" si="120">CONCATENATE(N167,O167,P167,Q167,R167,S167,T167,)</f>
        <v/>
      </c>
      <c r="AD167" s="27"/>
      <c r="AH167"/>
      <c r="AJ167"/>
      <c r="AK167"/>
      <c r="AL167"/>
      <c r="AN167"/>
      <c r="AO167" s="1"/>
      <c r="AP167" s="1"/>
      <c r="AQ167" s="1"/>
      <c r="AR167" s="1"/>
      <c r="AY167"/>
      <c r="AZ167"/>
      <c r="BA167"/>
      <c r="BB167"/>
      <c r="BE167" s="1"/>
      <c r="BF167" s="1"/>
      <c r="BN167"/>
      <c r="BO167"/>
    </row>
    <row r="168" spans="1:67" hidden="1" x14ac:dyDescent="0.2">
      <c r="B168" s="171" t="str">
        <f t="shared" ref="B168:B184" si="121">IF(D145&gt;B$166,1,"")</f>
        <v/>
      </c>
      <c r="C168" s="128" t="str">
        <f t="shared" si="107"/>
        <v/>
      </c>
      <c r="D168" s="128" t="str">
        <f t="shared" si="108"/>
        <v/>
      </c>
      <c r="E168" s="128" t="str">
        <f t="shared" si="109"/>
        <v/>
      </c>
      <c r="F168" s="128"/>
      <c r="G168" s="128" t="str">
        <f t="shared" si="110"/>
        <v/>
      </c>
      <c r="H168" s="128" t="str">
        <f t="shared" si="111"/>
        <v/>
      </c>
      <c r="I168" s="128"/>
      <c r="J168" s="172" t="str">
        <f t="shared" si="112"/>
        <v/>
      </c>
      <c r="K168" s="281">
        <f t="shared" ref="K168:K184" si="122">SUM(B168:J168)</f>
        <v>0</v>
      </c>
      <c r="N168" s="178" t="str">
        <f t="shared" si="113"/>
        <v/>
      </c>
      <c r="O168" s="9" t="str">
        <f t="shared" si="114"/>
        <v/>
      </c>
      <c r="P168" s="9" t="str">
        <f t="shared" si="115"/>
        <v/>
      </c>
      <c r="Q168" s="9" t="str">
        <f t="shared" si="116"/>
        <v/>
      </c>
      <c r="R168" s="9" t="str">
        <f t="shared" si="117"/>
        <v/>
      </c>
      <c r="S168" s="9" t="str">
        <f t="shared" si="118"/>
        <v/>
      </c>
      <c r="T168" s="179" t="str">
        <f t="shared" si="119"/>
        <v/>
      </c>
      <c r="U168" s="187" t="str">
        <f t="shared" si="120"/>
        <v/>
      </c>
      <c r="AD168" s="27"/>
      <c r="AH168"/>
      <c r="AJ168"/>
      <c r="AK168"/>
      <c r="AL168"/>
      <c r="AN168"/>
      <c r="AO168" s="1"/>
      <c r="AP168" s="1"/>
      <c r="AQ168" s="1"/>
      <c r="AR168" s="1"/>
      <c r="AY168"/>
      <c r="AZ168"/>
      <c r="BA168"/>
      <c r="BB168"/>
      <c r="BE168" s="1"/>
      <c r="BF168" s="1"/>
      <c r="BN168"/>
      <c r="BO168"/>
    </row>
    <row r="169" spans="1:67" hidden="1" x14ac:dyDescent="0.2">
      <c r="B169" s="171" t="str">
        <f t="shared" si="121"/>
        <v/>
      </c>
      <c r="C169" s="128" t="str">
        <f t="shared" si="107"/>
        <v/>
      </c>
      <c r="D169" s="128" t="str">
        <f t="shared" si="108"/>
        <v/>
      </c>
      <c r="E169" s="128" t="str">
        <f t="shared" si="109"/>
        <v/>
      </c>
      <c r="F169" s="128"/>
      <c r="G169" s="128" t="str">
        <f t="shared" si="110"/>
        <v/>
      </c>
      <c r="H169" s="128" t="str">
        <f t="shared" si="111"/>
        <v/>
      </c>
      <c r="I169" s="128"/>
      <c r="J169" s="172" t="str">
        <f t="shared" si="112"/>
        <v/>
      </c>
      <c r="K169" s="281">
        <f t="shared" si="122"/>
        <v>0</v>
      </c>
      <c r="N169" s="178" t="str">
        <f t="shared" si="113"/>
        <v/>
      </c>
      <c r="O169" s="9" t="str">
        <f t="shared" si="114"/>
        <v/>
      </c>
      <c r="P169" s="9" t="str">
        <f t="shared" si="115"/>
        <v/>
      </c>
      <c r="Q169" s="9" t="str">
        <f t="shared" si="116"/>
        <v/>
      </c>
      <c r="R169" s="9" t="str">
        <f t="shared" si="117"/>
        <v/>
      </c>
      <c r="S169" s="9" t="str">
        <f t="shared" si="118"/>
        <v/>
      </c>
      <c r="T169" s="179" t="str">
        <f t="shared" si="119"/>
        <v/>
      </c>
      <c r="U169" s="187" t="str">
        <f t="shared" si="120"/>
        <v/>
      </c>
      <c r="AD169" s="27"/>
      <c r="AH169"/>
      <c r="AJ169"/>
      <c r="AK169"/>
      <c r="AL169"/>
      <c r="AN169"/>
      <c r="AO169" s="1"/>
      <c r="AP169" s="1"/>
      <c r="AQ169" s="1"/>
      <c r="AR169" s="1"/>
      <c r="AY169"/>
      <c r="AZ169"/>
      <c r="BA169"/>
      <c r="BB169"/>
      <c r="BE169" s="1"/>
      <c r="BF169" s="1"/>
      <c r="BN169"/>
      <c r="BO169"/>
    </row>
    <row r="170" spans="1:67" hidden="1" x14ac:dyDescent="0.2">
      <c r="B170" s="171" t="str">
        <f t="shared" si="121"/>
        <v/>
      </c>
      <c r="C170" s="128" t="str">
        <f t="shared" si="107"/>
        <v/>
      </c>
      <c r="D170" s="128" t="str">
        <f t="shared" si="108"/>
        <v/>
      </c>
      <c r="E170" s="128" t="str">
        <f t="shared" si="109"/>
        <v/>
      </c>
      <c r="F170" s="128"/>
      <c r="G170" s="128" t="str">
        <f t="shared" si="110"/>
        <v/>
      </c>
      <c r="H170" s="128" t="str">
        <f t="shared" si="111"/>
        <v/>
      </c>
      <c r="I170" s="128"/>
      <c r="J170" s="172" t="str">
        <f t="shared" si="112"/>
        <v/>
      </c>
      <c r="K170" s="281">
        <f t="shared" si="122"/>
        <v>0</v>
      </c>
      <c r="N170" s="178" t="str">
        <f t="shared" si="113"/>
        <v/>
      </c>
      <c r="O170" s="9" t="str">
        <f t="shared" si="114"/>
        <v/>
      </c>
      <c r="P170" s="9" t="str">
        <f t="shared" si="115"/>
        <v/>
      </c>
      <c r="Q170" s="9" t="str">
        <f t="shared" si="116"/>
        <v/>
      </c>
      <c r="R170" s="9" t="str">
        <f t="shared" si="117"/>
        <v/>
      </c>
      <c r="S170" s="9" t="str">
        <f t="shared" si="118"/>
        <v/>
      </c>
      <c r="T170" s="179" t="str">
        <f t="shared" si="119"/>
        <v/>
      </c>
      <c r="U170" s="187" t="str">
        <f t="shared" si="120"/>
        <v/>
      </c>
      <c r="AD170" s="27"/>
      <c r="AH170"/>
      <c r="AJ170"/>
      <c r="AK170"/>
      <c r="AL170"/>
      <c r="AN170"/>
      <c r="AO170" s="1"/>
      <c r="AP170" s="1"/>
      <c r="AQ170" s="1"/>
      <c r="AR170" s="1"/>
      <c r="AY170"/>
      <c r="AZ170"/>
      <c r="BA170"/>
      <c r="BB170"/>
      <c r="BE170" s="1"/>
      <c r="BF170" s="1"/>
      <c r="BN170"/>
      <c r="BO170"/>
    </row>
    <row r="171" spans="1:67" hidden="1" x14ac:dyDescent="0.2">
      <c r="B171" s="171" t="str">
        <f t="shared" si="121"/>
        <v/>
      </c>
      <c r="C171" s="128" t="str">
        <f t="shared" si="107"/>
        <v/>
      </c>
      <c r="D171" s="128" t="str">
        <f t="shared" si="108"/>
        <v/>
      </c>
      <c r="E171" s="128" t="str">
        <f t="shared" si="109"/>
        <v/>
      </c>
      <c r="F171" s="128"/>
      <c r="G171" s="128" t="str">
        <f t="shared" si="110"/>
        <v/>
      </c>
      <c r="H171" s="128" t="str">
        <f t="shared" si="111"/>
        <v/>
      </c>
      <c r="I171" s="128"/>
      <c r="J171" s="172" t="str">
        <f t="shared" si="112"/>
        <v/>
      </c>
      <c r="K171" s="281">
        <f t="shared" si="122"/>
        <v>0</v>
      </c>
      <c r="N171" s="178" t="str">
        <f t="shared" si="113"/>
        <v/>
      </c>
      <c r="O171" s="9" t="str">
        <f t="shared" si="114"/>
        <v/>
      </c>
      <c r="P171" s="9" t="str">
        <f t="shared" si="115"/>
        <v/>
      </c>
      <c r="Q171" s="9" t="str">
        <f t="shared" si="116"/>
        <v/>
      </c>
      <c r="R171" s="9" t="str">
        <f t="shared" si="117"/>
        <v/>
      </c>
      <c r="S171" s="9" t="str">
        <f t="shared" si="118"/>
        <v/>
      </c>
      <c r="T171" s="179" t="str">
        <f t="shared" si="119"/>
        <v/>
      </c>
      <c r="U171" s="187" t="str">
        <f t="shared" si="120"/>
        <v/>
      </c>
      <c r="AD171" s="27"/>
      <c r="AH171"/>
      <c r="AJ171"/>
      <c r="AK171"/>
      <c r="AL171"/>
      <c r="AN171"/>
      <c r="AO171" s="1"/>
      <c r="AP171" s="1"/>
      <c r="AQ171" s="1"/>
      <c r="AR171" s="1"/>
      <c r="AY171"/>
      <c r="AZ171"/>
      <c r="BA171"/>
      <c r="BB171"/>
      <c r="BE171" s="1"/>
      <c r="BF171" s="1"/>
      <c r="BN171"/>
      <c r="BO171"/>
    </row>
    <row r="172" spans="1:67" hidden="1" x14ac:dyDescent="0.2">
      <c r="B172" s="171" t="str">
        <f t="shared" si="121"/>
        <v/>
      </c>
      <c r="C172" s="128" t="str">
        <f t="shared" si="107"/>
        <v/>
      </c>
      <c r="D172" s="128" t="str">
        <f t="shared" si="108"/>
        <v/>
      </c>
      <c r="E172" s="128" t="str">
        <f t="shared" si="109"/>
        <v/>
      </c>
      <c r="F172" s="128"/>
      <c r="G172" s="128" t="str">
        <f t="shared" si="110"/>
        <v/>
      </c>
      <c r="H172" s="128" t="str">
        <f t="shared" si="111"/>
        <v/>
      </c>
      <c r="I172" s="128"/>
      <c r="J172" s="172" t="str">
        <f t="shared" si="112"/>
        <v/>
      </c>
      <c r="K172" s="281">
        <f t="shared" si="122"/>
        <v>0</v>
      </c>
      <c r="N172" s="178" t="str">
        <f t="shared" si="113"/>
        <v/>
      </c>
      <c r="O172" s="9" t="str">
        <f t="shared" si="114"/>
        <v/>
      </c>
      <c r="P172" s="9" t="str">
        <f t="shared" si="115"/>
        <v/>
      </c>
      <c r="Q172" s="9" t="str">
        <f t="shared" si="116"/>
        <v/>
      </c>
      <c r="R172" s="9" t="str">
        <f t="shared" si="117"/>
        <v/>
      </c>
      <c r="S172" s="9" t="str">
        <f t="shared" si="118"/>
        <v/>
      </c>
      <c r="T172" s="179" t="str">
        <f t="shared" si="119"/>
        <v/>
      </c>
      <c r="U172" s="187" t="str">
        <f t="shared" si="120"/>
        <v/>
      </c>
      <c r="AD172" s="27"/>
      <c r="AH172"/>
      <c r="AJ172"/>
      <c r="AK172"/>
      <c r="AL172"/>
      <c r="AN172"/>
      <c r="AO172" s="1"/>
      <c r="AP172" s="1"/>
      <c r="AQ172" s="1"/>
      <c r="AR172" s="1"/>
      <c r="AY172"/>
      <c r="AZ172"/>
      <c r="BA172"/>
      <c r="BB172"/>
      <c r="BE172" s="1"/>
      <c r="BF172" s="1"/>
      <c r="BN172"/>
      <c r="BO172"/>
    </row>
    <row r="173" spans="1:67" hidden="1" x14ac:dyDescent="0.2">
      <c r="B173" s="171" t="str">
        <f t="shared" si="121"/>
        <v/>
      </c>
      <c r="C173" s="128" t="str">
        <f t="shared" si="107"/>
        <v/>
      </c>
      <c r="D173" s="128" t="str">
        <f t="shared" si="108"/>
        <v/>
      </c>
      <c r="E173" s="128" t="str">
        <f t="shared" si="109"/>
        <v/>
      </c>
      <c r="F173" s="128"/>
      <c r="G173" s="128" t="str">
        <f t="shared" si="110"/>
        <v/>
      </c>
      <c r="H173" s="128" t="str">
        <f t="shared" si="111"/>
        <v/>
      </c>
      <c r="I173" s="128"/>
      <c r="J173" s="172" t="str">
        <f t="shared" si="112"/>
        <v/>
      </c>
      <c r="K173" s="281">
        <f t="shared" si="122"/>
        <v>0</v>
      </c>
      <c r="N173" s="178" t="str">
        <f t="shared" si="113"/>
        <v/>
      </c>
      <c r="O173" s="9" t="str">
        <f t="shared" si="114"/>
        <v/>
      </c>
      <c r="P173" s="9" t="str">
        <f t="shared" si="115"/>
        <v/>
      </c>
      <c r="Q173" s="9" t="str">
        <f t="shared" si="116"/>
        <v/>
      </c>
      <c r="R173" s="9" t="str">
        <f t="shared" si="117"/>
        <v/>
      </c>
      <c r="S173" s="9" t="str">
        <f t="shared" si="118"/>
        <v/>
      </c>
      <c r="T173" s="179" t="str">
        <f t="shared" si="119"/>
        <v/>
      </c>
      <c r="U173" s="187" t="str">
        <f t="shared" si="120"/>
        <v/>
      </c>
      <c r="AD173" s="27"/>
      <c r="AH173"/>
      <c r="AJ173"/>
      <c r="AK173"/>
      <c r="AL173"/>
      <c r="AN173"/>
      <c r="AO173" s="1"/>
      <c r="AP173" s="1"/>
      <c r="AQ173" s="1"/>
      <c r="AR173" s="1"/>
      <c r="AY173"/>
      <c r="AZ173"/>
      <c r="BA173"/>
      <c r="BB173"/>
      <c r="BE173" s="1"/>
      <c r="BF173" s="1"/>
      <c r="BN173"/>
      <c r="BO173"/>
    </row>
    <row r="174" spans="1:67" hidden="1" x14ac:dyDescent="0.2">
      <c r="B174" s="171" t="str">
        <f t="shared" si="121"/>
        <v/>
      </c>
      <c r="C174" s="128" t="str">
        <f t="shared" si="107"/>
        <v/>
      </c>
      <c r="D174" s="128" t="str">
        <f t="shared" si="108"/>
        <v/>
      </c>
      <c r="E174" s="128" t="str">
        <f t="shared" si="109"/>
        <v/>
      </c>
      <c r="F174" s="128"/>
      <c r="G174" s="128" t="str">
        <f t="shared" si="110"/>
        <v/>
      </c>
      <c r="H174" s="128" t="str">
        <f t="shared" si="111"/>
        <v/>
      </c>
      <c r="I174" s="128"/>
      <c r="J174" s="172" t="str">
        <f t="shared" si="112"/>
        <v/>
      </c>
      <c r="K174" s="281">
        <f t="shared" si="122"/>
        <v>0</v>
      </c>
      <c r="N174" s="178" t="str">
        <f t="shared" si="113"/>
        <v/>
      </c>
      <c r="O174" s="9" t="str">
        <f t="shared" si="114"/>
        <v/>
      </c>
      <c r="P174" s="9" t="str">
        <f t="shared" si="115"/>
        <v/>
      </c>
      <c r="Q174" s="9" t="str">
        <f t="shared" si="116"/>
        <v/>
      </c>
      <c r="R174" s="9" t="str">
        <f t="shared" si="117"/>
        <v/>
      </c>
      <c r="S174" s="9" t="str">
        <f t="shared" si="118"/>
        <v/>
      </c>
      <c r="T174" s="179" t="str">
        <f t="shared" si="119"/>
        <v/>
      </c>
      <c r="U174" s="187" t="str">
        <f t="shared" si="120"/>
        <v/>
      </c>
      <c r="AD174" s="27"/>
      <c r="AH174"/>
      <c r="AJ174"/>
      <c r="AK174"/>
      <c r="AL174"/>
      <c r="AN174"/>
      <c r="AO174" s="1"/>
      <c r="AP174" s="1"/>
      <c r="AQ174" s="1"/>
      <c r="AR174" s="1"/>
      <c r="AY174"/>
      <c r="AZ174"/>
      <c r="BA174"/>
      <c r="BB174"/>
      <c r="BE174" s="1"/>
      <c r="BF174" s="1"/>
      <c r="BN174"/>
      <c r="BO174"/>
    </row>
    <row r="175" spans="1:67" hidden="1" x14ac:dyDescent="0.2">
      <c r="B175" s="171" t="str">
        <f t="shared" si="121"/>
        <v/>
      </c>
      <c r="C175" s="128" t="str">
        <f t="shared" si="107"/>
        <v/>
      </c>
      <c r="D175" s="128" t="str">
        <f t="shared" si="108"/>
        <v/>
      </c>
      <c r="E175" s="128" t="str">
        <f t="shared" si="109"/>
        <v/>
      </c>
      <c r="F175" s="128"/>
      <c r="G175" s="128" t="str">
        <f t="shared" si="110"/>
        <v/>
      </c>
      <c r="H175" s="128" t="str">
        <f t="shared" si="111"/>
        <v/>
      </c>
      <c r="I175" s="128"/>
      <c r="J175" s="172" t="str">
        <f t="shared" si="112"/>
        <v/>
      </c>
      <c r="K175" s="281">
        <f t="shared" si="122"/>
        <v>0</v>
      </c>
      <c r="N175" s="178" t="str">
        <f t="shared" si="113"/>
        <v/>
      </c>
      <c r="O175" s="9" t="str">
        <f t="shared" si="114"/>
        <v/>
      </c>
      <c r="P175" s="9" t="str">
        <f t="shared" si="115"/>
        <v/>
      </c>
      <c r="Q175" s="9" t="str">
        <f t="shared" si="116"/>
        <v/>
      </c>
      <c r="R175" s="9" t="str">
        <f t="shared" si="117"/>
        <v/>
      </c>
      <c r="S175" s="9" t="str">
        <f t="shared" si="118"/>
        <v/>
      </c>
      <c r="T175" s="179" t="str">
        <f t="shared" si="119"/>
        <v/>
      </c>
      <c r="U175" s="187" t="str">
        <f t="shared" si="120"/>
        <v/>
      </c>
      <c r="AD175" s="27"/>
      <c r="AH175"/>
      <c r="AJ175"/>
      <c r="AK175"/>
      <c r="AL175"/>
      <c r="AN175"/>
      <c r="AO175" s="1"/>
      <c r="AP175" s="1"/>
      <c r="AQ175" s="1"/>
      <c r="AR175" s="1"/>
      <c r="AY175"/>
      <c r="AZ175"/>
      <c r="BA175"/>
      <c r="BB175"/>
      <c r="BE175" s="1"/>
      <c r="BF175" s="1"/>
      <c r="BN175"/>
      <c r="BO175"/>
    </row>
    <row r="176" spans="1:67" hidden="1" x14ac:dyDescent="0.2">
      <c r="B176" s="171" t="str">
        <f t="shared" si="121"/>
        <v/>
      </c>
      <c r="C176" s="128" t="str">
        <f t="shared" si="107"/>
        <v/>
      </c>
      <c r="D176" s="128" t="str">
        <f t="shared" si="108"/>
        <v/>
      </c>
      <c r="E176" s="128" t="str">
        <f t="shared" si="109"/>
        <v/>
      </c>
      <c r="F176" s="128"/>
      <c r="G176" s="128" t="str">
        <f t="shared" si="110"/>
        <v/>
      </c>
      <c r="H176" s="128" t="str">
        <f t="shared" si="111"/>
        <v/>
      </c>
      <c r="I176" s="128"/>
      <c r="J176" s="172" t="str">
        <f t="shared" si="112"/>
        <v/>
      </c>
      <c r="K176" s="281">
        <f t="shared" si="122"/>
        <v>0</v>
      </c>
      <c r="N176" s="178" t="str">
        <f t="shared" si="113"/>
        <v/>
      </c>
      <c r="O176" s="9" t="str">
        <f t="shared" si="114"/>
        <v/>
      </c>
      <c r="P176" s="9" t="str">
        <f t="shared" si="115"/>
        <v/>
      </c>
      <c r="Q176" s="9" t="str">
        <f t="shared" si="116"/>
        <v/>
      </c>
      <c r="R176" s="9" t="str">
        <f t="shared" si="117"/>
        <v/>
      </c>
      <c r="S176" s="9" t="str">
        <f t="shared" si="118"/>
        <v/>
      </c>
      <c r="T176" s="179" t="str">
        <f t="shared" si="119"/>
        <v/>
      </c>
      <c r="U176" s="187" t="str">
        <f t="shared" si="120"/>
        <v/>
      </c>
      <c r="AD176" s="27"/>
      <c r="AH176"/>
      <c r="AJ176"/>
      <c r="AK176"/>
      <c r="AL176"/>
      <c r="AN176"/>
      <c r="AO176" s="1"/>
      <c r="AP176" s="1"/>
      <c r="AQ176" s="1"/>
      <c r="AR176" s="1"/>
      <c r="AY176"/>
      <c r="AZ176"/>
      <c r="BA176"/>
      <c r="BB176"/>
      <c r="BE176" s="1"/>
      <c r="BF176" s="1"/>
      <c r="BN176"/>
      <c r="BO176"/>
    </row>
    <row r="177" spans="2:58" customFormat="1" hidden="1" x14ac:dyDescent="0.2">
      <c r="B177" s="171" t="str">
        <f t="shared" si="121"/>
        <v/>
      </c>
      <c r="C177" s="128" t="str">
        <f t="shared" si="107"/>
        <v/>
      </c>
      <c r="D177" s="128" t="str">
        <f t="shared" si="108"/>
        <v/>
      </c>
      <c r="E177" s="128" t="str">
        <f t="shared" si="109"/>
        <v/>
      </c>
      <c r="F177" s="128"/>
      <c r="G177" s="128" t="str">
        <f t="shared" si="110"/>
        <v/>
      </c>
      <c r="H177" s="128" t="str">
        <f t="shared" si="111"/>
        <v/>
      </c>
      <c r="I177" s="128"/>
      <c r="J177" s="172" t="str">
        <f t="shared" si="112"/>
        <v/>
      </c>
      <c r="K177" s="281">
        <f t="shared" si="122"/>
        <v>0</v>
      </c>
      <c r="N177" s="178" t="str">
        <f t="shared" si="113"/>
        <v/>
      </c>
      <c r="O177" s="9" t="str">
        <f t="shared" si="114"/>
        <v/>
      </c>
      <c r="P177" s="9" t="str">
        <f t="shared" si="115"/>
        <v/>
      </c>
      <c r="Q177" s="9" t="str">
        <f t="shared" si="116"/>
        <v/>
      </c>
      <c r="R177" s="9" t="str">
        <f t="shared" si="117"/>
        <v/>
      </c>
      <c r="S177" s="9" t="str">
        <f t="shared" si="118"/>
        <v/>
      </c>
      <c r="T177" s="179" t="str">
        <f t="shared" si="119"/>
        <v/>
      </c>
      <c r="U177" s="187" t="str">
        <f t="shared" si="120"/>
        <v/>
      </c>
      <c r="AD177" s="27"/>
      <c r="AO177" s="1"/>
      <c r="AP177" s="1"/>
      <c r="AQ177" s="1"/>
      <c r="AR177" s="1"/>
      <c r="BE177" s="1"/>
      <c r="BF177" s="1"/>
    </row>
    <row r="178" spans="2:58" customFormat="1" hidden="1" x14ac:dyDescent="0.2">
      <c r="B178" s="171" t="str">
        <f t="shared" si="121"/>
        <v/>
      </c>
      <c r="C178" s="128" t="str">
        <f t="shared" si="107"/>
        <v/>
      </c>
      <c r="D178" s="128" t="str">
        <f t="shared" si="108"/>
        <v/>
      </c>
      <c r="E178" s="128" t="str">
        <f t="shared" si="109"/>
        <v/>
      </c>
      <c r="F178" s="128"/>
      <c r="G178" s="128" t="str">
        <f t="shared" si="110"/>
        <v/>
      </c>
      <c r="H178" s="128" t="str">
        <f t="shared" si="111"/>
        <v/>
      </c>
      <c r="I178" s="128"/>
      <c r="J178" s="172" t="str">
        <f t="shared" si="112"/>
        <v/>
      </c>
      <c r="K178" s="281">
        <f t="shared" si="122"/>
        <v>0</v>
      </c>
      <c r="N178" s="178" t="str">
        <f t="shared" si="113"/>
        <v/>
      </c>
      <c r="O178" s="9" t="str">
        <f t="shared" si="114"/>
        <v/>
      </c>
      <c r="P178" s="9" t="str">
        <f t="shared" si="115"/>
        <v/>
      </c>
      <c r="Q178" s="9" t="str">
        <f t="shared" si="116"/>
        <v/>
      </c>
      <c r="R178" s="9" t="str">
        <f t="shared" si="117"/>
        <v/>
      </c>
      <c r="S178" s="9" t="str">
        <f t="shared" si="118"/>
        <v/>
      </c>
      <c r="T178" s="179" t="str">
        <f t="shared" si="119"/>
        <v/>
      </c>
      <c r="U178" s="187" t="str">
        <f t="shared" si="120"/>
        <v/>
      </c>
      <c r="AD178" s="27"/>
      <c r="AO178" s="1"/>
      <c r="AP178" s="1"/>
      <c r="AQ178" s="1"/>
      <c r="AR178" s="1"/>
      <c r="BE178" s="1"/>
      <c r="BF178" s="1"/>
    </row>
    <row r="179" spans="2:58" customFormat="1" hidden="1" x14ac:dyDescent="0.2">
      <c r="B179" s="171" t="str">
        <f t="shared" si="121"/>
        <v/>
      </c>
      <c r="C179" s="128" t="str">
        <f t="shared" si="107"/>
        <v/>
      </c>
      <c r="D179" s="128" t="str">
        <f t="shared" si="108"/>
        <v/>
      </c>
      <c r="E179" s="128" t="str">
        <f t="shared" si="109"/>
        <v/>
      </c>
      <c r="F179" s="128"/>
      <c r="G179" s="128" t="str">
        <f t="shared" si="110"/>
        <v/>
      </c>
      <c r="H179" s="128" t="str">
        <f t="shared" si="111"/>
        <v/>
      </c>
      <c r="I179" s="128"/>
      <c r="J179" s="172" t="str">
        <f t="shared" si="112"/>
        <v/>
      </c>
      <c r="K179" s="281">
        <f t="shared" si="122"/>
        <v>0</v>
      </c>
      <c r="N179" s="178" t="str">
        <f t="shared" si="113"/>
        <v/>
      </c>
      <c r="O179" s="9" t="str">
        <f t="shared" si="114"/>
        <v/>
      </c>
      <c r="P179" s="9" t="str">
        <f t="shared" si="115"/>
        <v/>
      </c>
      <c r="Q179" s="9" t="str">
        <f t="shared" si="116"/>
        <v/>
      </c>
      <c r="R179" s="9" t="str">
        <f t="shared" si="117"/>
        <v/>
      </c>
      <c r="S179" s="9" t="str">
        <f t="shared" si="118"/>
        <v/>
      </c>
      <c r="T179" s="179" t="str">
        <f t="shared" si="119"/>
        <v/>
      </c>
      <c r="U179" s="187" t="str">
        <f t="shared" si="120"/>
        <v/>
      </c>
      <c r="AD179" s="27"/>
      <c r="AO179" s="1"/>
      <c r="AP179" s="1"/>
      <c r="AQ179" s="1"/>
      <c r="AR179" s="1"/>
      <c r="BE179" s="1"/>
      <c r="BF179" s="1"/>
    </row>
    <row r="180" spans="2:58" customFormat="1" hidden="1" x14ac:dyDescent="0.2">
      <c r="B180" s="171" t="str">
        <f t="shared" si="121"/>
        <v/>
      </c>
      <c r="C180" s="128" t="str">
        <f t="shared" si="107"/>
        <v/>
      </c>
      <c r="D180" s="128" t="str">
        <f t="shared" si="108"/>
        <v/>
      </c>
      <c r="E180" s="128" t="str">
        <f t="shared" si="109"/>
        <v/>
      </c>
      <c r="F180" s="128"/>
      <c r="G180" s="128" t="str">
        <f t="shared" si="110"/>
        <v/>
      </c>
      <c r="H180" s="128" t="str">
        <f t="shared" si="111"/>
        <v/>
      </c>
      <c r="I180" s="128"/>
      <c r="J180" s="172" t="str">
        <f t="shared" si="112"/>
        <v/>
      </c>
      <c r="K180" s="281">
        <f t="shared" si="122"/>
        <v>0</v>
      </c>
      <c r="N180" s="178" t="str">
        <f t="shared" si="113"/>
        <v/>
      </c>
      <c r="O180" s="9" t="str">
        <f t="shared" si="114"/>
        <v/>
      </c>
      <c r="P180" s="9" t="str">
        <f t="shared" si="115"/>
        <v/>
      </c>
      <c r="Q180" s="9" t="str">
        <f t="shared" si="116"/>
        <v/>
      </c>
      <c r="R180" s="9" t="str">
        <f t="shared" si="117"/>
        <v/>
      </c>
      <c r="S180" s="9" t="str">
        <f t="shared" si="118"/>
        <v/>
      </c>
      <c r="T180" s="179" t="str">
        <f t="shared" si="119"/>
        <v/>
      </c>
      <c r="U180" s="187" t="str">
        <f t="shared" si="120"/>
        <v/>
      </c>
      <c r="AD180" s="27"/>
      <c r="AO180" s="1"/>
      <c r="AP180" s="1"/>
      <c r="AQ180" s="1"/>
      <c r="AR180" s="1"/>
      <c r="BE180" s="1"/>
      <c r="BF180" s="1"/>
    </row>
    <row r="181" spans="2:58" customFormat="1" hidden="1" x14ac:dyDescent="0.2">
      <c r="B181" s="171" t="str">
        <f t="shared" si="121"/>
        <v/>
      </c>
      <c r="C181" s="128" t="str">
        <f t="shared" si="107"/>
        <v/>
      </c>
      <c r="D181" s="128" t="str">
        <f t="shared" si="108"/>
        <v/>
      </c>
      <c r="E181" s="128" t="str">
        <f t="shared" si="109"/>
        <v/>
      </c>
      <c r="F181" s="128"/>
      <c r="G181" s="128" t="str">
        <f t="shared" si="110"/>
        <v/>
      </c>
      <c r="H181" s="128" t="str">
        <f t="shared" si="111"/>
        <v/>
      </c>
      <c r="I181" s="128"/>
      <c r="J181" s="172" t="str">
        <f t="shared" si="112"/>
        <v/>
      </c>
      <c r="K181" s="281">
        <f t="shared" si="122"/>
        <v>0</v>
      </c>
      <c r="N181" s="178" t="str">
        <f t="shared" si="113"/>
        <v/>
      </c>
      <c r="O181" s="9" t="str">
        <f t="shared" si="114"/>
        <v/>
      </c>
      <c r="P181" s="9" t="str">
        <f t="shared" si="115"/>
        <v/>
      </c>
      <c r="Q181" s="9" t="str">
        <f t="shared" si="116"/>
        <v/>
      </c>
      <c r="R181" s="9" t="str">
        <f t="shared" si="117"/>
        <v/>
      </c>
      <c r="S181" s="9" t="str">
        <f t="shared" si="118"/>
        <v/>
      </c>
      <c r="T181" s="179" t="str">
        <f t="shared" si="119"/>
        <v/>
      </c>
      <c r="U181" s="187" t="str">
        <f t="shared" si="120"/>
        <v/>
      </c>
      <c r="AD181" s="27"/>
      <c r="AO181" s="1"/>
      <c r="AP181" s="1"/>
      <c r="AQ181" s="1"/>
      <c r="AR181" s="1"/>
      <c r="BE181" s="1"/>
      <c r="BF181" s="1"/>
    </row>
    <row r="182" spans="2:58" customFormat="1" hidden="1" x14ac:dyDescent="0.2">
      <c r="B182" s="171" t="str">
        <f t="shared" si="121"/>
        <v/>
      </c>
      <c r="C182" s="128" t="str">
        <f t="shared" si="107"/>
        <v/>
      </c>
      <c r="D182" s="128" t="str">
        <f t="shared" si="108"/>
        <v/>
      </c>
      <c r="E182" s="128" t="str">
        <f t="shared" si="109"/>
        <v/>
      </c>
      <c r="F182" s="128"/>
      <c r="G182" s="128" t="str">
        <f t="shared" si="110"/>
        <v/>
      </c>
      <c r="H182" s="128" t="str">
        <f t="shared" si="111"/>
        <v/>
      </c>
      <c r="I182" s="128"/>
      <c r="J182" s="172" t="str">
        <f t="shared" si="112"/>
        <v/>
      </c>
      <c r="K182" s="281">
        <f t="shared" si="122"/>
        <v>0</v>
      </c>
      <c r="N182" s="178" t="str">
        <f t="shared" si="113"/>
        <v/>
      </c>
      <c r="O182" s="9" t="str">
        <f t="shared" si="114"/>
        <v/>
      </c>
      <c r="P182" s="9" t="str">
        <f t="shared" si="115"/>
        <v/>
      </c>
      <c r="Q182" s="9" t="str">
        <f t="shared" si="116"/>
        <v/>
      </c>
      <c r="R182" s="9" t="str">
        <f t="shared" si="117"/>
        <v/>
      </c>
      <c r="S182" s="9" t="str">
        <f t="shared" si="118"/>
        <v/>
      </c>
      <c r="T182" s="179" t="str">
        <f t="shared" si="119"/>
        <v/>
      </c>
      <c r="U182" s="187" t="str">
        <f t="shared" si="120"/>
        <v/>
      </c>
      <c r="AD182" s="27"/>
      <c r="AO182" s="1"/>
      <c r="AP182" s="1"/>
      <c r="AQ182" s="1"/>
      <c r="AR182" s="1"/>
      <c r="BE182" s="1"/>
      <c r="BF182" s="1"/>
    </row>
    <row r="183" spans="2:58" customFormat="1" hidden="1" x14ac:dyDescent="0.2">
      <c r="B183" s="171" t="str">
        <f t="shared" si="121"/>
        <v/>
      </c>
      <c r="C183" s="128" t="str">
        <f t="shared" ref="C183:C184" si="123">IF(E160&gt;C$166,1,"")</f>
        <v/>
      </c>
      <c r="D183" s="128" t="str">
        <f t="shared" si="108"/>
        <v/>
      </c>
      <c r="E183" s="128" t="str">
        <f t="shared" si="109"/>
        <v/>
      </c>
      <c r="F183" s="128"/>
      <c r="G183" s="128" t="str">
        <f t="shared" si="110"/>
        <v/>
      </c>
      <c r="H183" s="128" t="str">
        <f t="shared" si="111"/>
        <v/>
      </c>
      <c r="I183" s="128"/>
      <c r="J183" s="172" t="str">
        <f t="shared" si="112"/>
        <v/>
      </c>
      <c r="K183" s="281">
        <f t="shared" si="122"/>
        <v>0</v>
      </c>
      <c r="N183" s="178" t="str">
        <f t="shared" si="113"/>
        <v/>
      </c>
      <c r="O183" s="9" t="str">
        <f t="shared" si="114"/>
        <v/>
      </c>
      <c r="P183" s="9" t="str">
        <f t="shared" si="115"/>
        <v/>
      </c>
      <c r="Q183" s="9" t="str">
        <f t="shared" si="116"/>
        <v/>
      </c>
      <c r="R183" s="9" t="str">
        <f t="shared" si="117"/>
        <v/>
      </c>
      <c r="S183" s="9" t="str">
        <f t="shared" si="118"/>
        <v/>
      </c>
      <c r="T183" s="179" t="str">
        <f t="shared" si="119"/>
        <v/>
      </c>
      <c r="U183" s="187" t="str">
        <f t="shared" si="120"/>
        <v/>
      </c>
      <c r="AD183" s="27"/>
      <c r="AO183" s="1"/>
      <c r="AP183" s="1"/>
      <c r="AQ183" s="1"/>
      <c r="AR183" s="1"/>
      <c r="BE183" s="1"/>
      <c r="BF183" s="1"/>
    </row>
    <row r="184" spans="2:58" customFormat="1" hidden="1" x14ac:dyDescent="0.2">
      <c r="B184" s="173" t="str">
        <f t="shared" si="121"/>
        <v/>
      </c>
      <c r="C184" s="174" t="str">
        <f t="shared" si="123"/>
        <v/>
      </c>
      <c r="D184" s="174" t="str">
        <f t="shared" si="108"/>
        <v/>
      </c>
      <c r="E184" s="174" t="str">
        <f t="shared" si="109"/>
        <v/>
      </c>
      <c r="F184" s="174"/>
      <c r="G184" s="174" t="str">
        <f t="shared" si="110"/>
        <v/>
      </c>
      <c r="H184" s="174" t="str">
        <f t="shared" si="111"/>
        <v/>
      </c>
      <c r="I184" s="174"/>
      <c r="J184" s="175" t="str">
        <f t="shared" si="112"/>
        <v/>
      </c>
      <c r="K184" s="282">
        <f t="shared" si="122"/>
        <v>0</v>
      </c>
      <c r="N184" s="180" t="str">
        <f t="shared" si="113"/>
        <v/>
      </c>
      <c r="O184" s="181" t="str">
        <f t="shared" si="114"/>
        <v/>
      </c>
      <c r="P184" s="181" t="str">
        <f t="shared" si="115"/>
        <v/>
      </c>
      <c r="Q184" s="181" t="str">
        <f t="shared" si="116"/>
        <v/>
      </c>
      <c r="R184" s="181" t="str">
        <f t="shared" si="117"/>
        <v/>
      </c>
      <c r="S184" s="181" t="str">
        <f t="shared" si="118"/>
        <v/>
      </c>
      <c r="T184" s="182" t="str">
        <f t="shared" si="119"/>
        <v/>
      </c>
      <c r="U184" s="187" t="str">
        <f t="shared" si="120"/>
        <v/>
      </c>
      <c r="AD184" s="27"/>
      <c r="AO184" s="1"/>
      <c r="AP184" s="1"/>
      <c r="AQ184" s="1"/>
      <c r="AR184" s="1"/>
      <c r="BE184" s="1"/>
      <c r="BF184" s="1"/>
    </row>
    <row r="185" spans="2:58" customFormat="1" ht="13.5" hidden="1" thickBot="1" x14ac:dyDescent="0.25">
      <c r="K185" s="277">
        <f>SUM(K167:K184)</f>
        <v>0</v>
      </c>
      <c r="AD185" s="27"/>
      <c r="AO185" s="1"/>
      <c r="AP185" s="1"/>
      <c r="AQ185" s="1"/>
      <c r="AR185" s="1"/>
      <c r="BE185" s="1"/>
      <c r="BF185" s="1"/>
    </row>
    <row r="186" spans="2:58" customFormat="1" hidden="1" x14ac:dyDescent="0.2">
      <c r="T186" s="183" t="s">
        <v>240</v>
      </c>
      <c r="U186" s="187" t="str">
        <f>CONCATENATE(U167,U168,U169,U170,U171,U172,U173,U174,U175,U176,U177,U178,U179,U180,U181,U182,U183,U184,)</f>
        <v/>
      </c>
      <c r="AD186" s="27"/>
      <c r="AO186" s="1"/>
      <c r="AP186" s="1"/>
      <c r="AQ186" s="1"/>
      <c r="AR186" s="1"/>
      <c r="BE186" s="1"/>
      <c r="BF186" s="1"/>
    </row>
    <row r="187" spans="2:58" customFormat="1" hidden="1" x14ac:dyDescent="0.2">
      <c r="B187" s="221" t="s">
        <v>257</v>
      </c>
      <c r="C187" s="222"/>
      <c r="D187" s="222"/>
      <c r="E187" s="222"/>
      <c r="F187" s="222"/>
      <c r="G187" s="223"/>
      <c r="AD187" s="27"/>
      <c r="AO187" s="1"/>
      <c r="AP187" s="1"/>
      <c r="AQ187" s="1"/>
      <c r="AR187" s="1"/>
      <c r="BE187" s="1"/>
      <c r="BF187" s="1"/>
    </row>
    <row r="188" spans="2:58" customFormat="1" hidden="1" x14ac:dyDescent="0.2">
      <c r="B188" s="224" t="s">
        <v>235</v>
      </c>
      <c r="C188" s="9"/>
      <c r="D188" s="9"/>
      <c r="E188" s="177" t="s">
        <v>11</v>
      </c>
      <c r="F188" s="486"/>
      <c r="G188" s="179"/>
      <c r="AD188" s="27"/>
      <c r="AO188" s="1"/>
      <c r="AP188" s="1"/>
      <c r="AQ188" s="1"/>
      <c r="AR188" s="1"/>
      <c r="BE188" s="1"/>
      <c r="BF188" s="1"/>
    </row>
    <row r="189" spans="2:58" customFormat="1" hidden="1" x14ac:dyDescent="0.2">
      <c r="B189" s="224">
        <v>1</v>
      </c>
      <c r="C189" s="9"/>
      <c r="D189" s="9"/>
      <c r="E189" s="188" t="str">
        <f t="shared" ref="E189:E206" si="124">IF(AND(E144&gt;0,(SUM(D144,G144:K144)&gt;0)),1,"")</f>
        <v/>
      </c>
      <c r="F189" s="188"/>
      <c r="G189" s="225" t="str">
        <f>IF(E189=1,CONCATENATE(" Gun ",$B189," identified both as Pistol and Rifle! "),"")</f>
        <v/>
      </c>
      <c r="AD189" s="27"/>
      <c r="AO189" s="1"/>
      <c r="AP189" s="1"/>
      <c r="AQ189" s="1"/>
      <c r="AR189" s="1"/>
      <c r="BE189" s="1"/>
      <c r="BF189" s="1"/>
    </row>
    <row r="190" spans="2:58" customFormat="1" hidden="1" x14ac:dyDescent="0.2">
      <c r="B190" s="224">
        <v>2</v>
      </c>
      <c r="C190" s="9"/>
      <c r="D190" s="9"/>
      <c r="E190" s="188" t="str">
        <f t="shared" si="124"/>
        <v/>
      </c>
      <c r="F190" s="188"/>
      <c r="G190" s="225" t="str">
        <f t="shared" ref="G190:G205" si="125">IF(E190=1,CONCATENATE(" Gun ",$B190," identified both as Pistol and Rifle! "),"")</f>
        <v/>
      </c>
      <c r="AD190" s="27"/>
      <c r="AO190" s="1"/>
      <c r="AP190" s="1"/>
      <c r="AQ190" s="1"/>
      <c r="AR190" s="1"/>
      <c r="BE190" s="1"/>
      <c r="BF190" s="1"/>
    </row>
    <row r="191" spans="2:58" customFormat="1" hidden="1" x14ac:dyDescent="0.2">
      <c r="B191" s="224">
        <v>3</v>
      </c>
      <c r="C191" s="9"/>
      <c r="D191" s="9"/>
      <c r="E191" s="188" t="str">
        <f t="shared" si="124"/>
        <v/>
      </c>
      <c r="F191" s="188"/>
      <c r="G191" s="225" t="str">
        <f t="shared" si="125"/>
        <v/>
      </c>
      <c r="AD191" s="27"/>
      <c r="AO191" s="1"/>
      <c r="AP191" s="1"/>
      <c r="AQ191" s="1"/>
      <c r="AR191" s="1"/>
      <c r="BE191" s="1"/>
      <c r="BF191" s="1"/>
    </row>
    <row r="192" spans="2:58" customFormat="1" hidden="1" x14ac:dyDescent="0.2">
      <c r="B192" s="224">
        <v>4</v>
      </c>
      <c r="C192" s="9"/>
      <c r="D192" s="9"/>
      <c r="E192" s="188" t="str">
        <f t="shared" si="124"/>
        <v/>
      </c>
      <c r="F192" s="188"/>
      <c r="G192" s="225" t="str">
        <f t="shared" si="125"/>
        <v/>
      </c>
      <c r="AD192" s="27"/>
      <c r="AO192" s="1"/>
      <c r="AP192" s="1"/>
      <c r="AQ192" s="1"/>
      <c r="AR192" s="1"/>
      <c r="BE192" s="1"/>
      <c r="BF192" s="1"/>
    </row>
    <row r="193" spans="2:58" customFormat="1" hidden="1" x14ac:dyDescent="0.2">
      <c r="B193" s="224">
        <v>5</v>
      </c>
      <c r="C193" s="9"/>
      <c r="D193" s="9"/>
      <c r="E193" s="188" t="str">
        <f t="shared" si="124"/>
        <v/>
      </c>
      <c r="F193" s="188"/>
      <c r="G193" s="225" t="str">
        <f t="shared" si="125"/>
        <v/>
      </c>
      <c r="AD193" s="27"/>
      <c r="AO193" s="1"/>
      <c r="AP193" s="1"/>
      <c r="AQ193" s="1"/>
      <c r="AR193" s="1"/>
      <c r="BE193" s="1"/>
      <c r="BF193" s="1"/>
    </row>
    <row r="194" spans="2:58" customFormat="1" hidden="1" x14ac:dyDescent="0.2">
      <c r="B194" s="224">
        <v>6</v>
      </c>
      <c r="C194" s="9"/>
      <c r="D194" s="9"/>
      <c r="E194" s="188" t="str">
        <f t="shared" si="124"/>
        <v/>
      </c>
      <c r="F194" s="188"/>
      <c r="G194" s="225" t="str">
        <f t="shared" si="125"/>
        <v/>
      </c>
      <c r="AD194" s="27"/>
      <c r="AO194" s="1"/>
      <c r="AP194" s="1"/>
      <c r="AQ194" s="1"/>
      <c r="AR194" s="1"/>
      <c r="BE194" s="1"/>
      <c r="BF194" s="1"/>
    </row>
    <row r="195" spans="2:58" customFormat="1" hidden="1" x14ac:dyDescent="0.2">
      <c r="B195" s="224">
        <v>7</v>
      </c>
      <c r="C195" s="9"/>
      <c r="D195" s="9"/>
      <c r="E195" s="188" t="str">
        <f t="shared" si="124"/>
        <v/>
      </c>
      <c r="F195" s="188"/>
      <c r="G195" s="225" t="str">
        <f t="shared" si="125"/>
        <v/>
      </c>
      <c r="AD195" s="27"/>
      <c r="AO195" s="1"/>
      <c r="AP195" s="1"/>
      <c r="AQ195" s="1"/>
      <c r="AR195" s="1"/>
      <c r="BE195" s="1"/>
      <c r="BF195" s="1"/>
    </row>
    <row r="196" spans="2:58" customFormat="1" hidden="1" x14ac:dyDescent="0.2">
      <c r="B196" s="224">
        <v>8</v>
      </c>
      <c r="C196" s="9"/>
      <c r="D196" s="9"/>
      <c r="E196" s="188" t="str">
        <f t="shared" si="124"/>
        <v/>
      </c>
      <c r="F196" s="188"/>
      <c r="G196" s="225" t="str">
        <f t="shared" si="125"/>
        <v/>
      </c>
      <c r="AD196" s="27"/>
      <c r="AO196" s="1"/>
      <c r="AP196" s="1"/>
      <c r="AQ196" s="1"/>
      <c r="AR196" s="1"/>
      <c r="BE196" s="1"/>
      <c r="BF196" s="1"/>
    </row>
    <row r="197" spans="2:58" customFormat="1" hidden="1" x14ac:dyDescent="0.2">
      <c r="B197" s="224">
        <v>9</v>
      </c>
      <c r="C197" s="9"/>
      <c r="D197" s="9"/>
      <c r="E197" s="188" t="str">
        <f t="shared" si="124"/>
        <v/>
      </c>
      <c r="F197" s="188"/>
      <c r="G197" s="225" t="str">
        <f t="shared" si="125"/>
        <v/>
      </c>
      <c r="AD197" s="27"/>
      <c r="AO197" s="1"/>
      <c r="AP197" s="1"/>
      <c r="AQ197" s="1"/>
      <c r="AR197" s="1"/>
      <c r="BE197" s="1"/>
      <c r="BF197" s="1"/>
    </row>
    <row r="198" spans="2:58" customFormat="1" hidden="1" x14ac:dyDescent="0.2">
      <c r="B198" s="224">
        <v>10</v>
      </c>
      <c r="C198" s="9"/>
      <c r="D198" s="9"/>
      <c r="E198" s="188" t="str">
        <f t="shared" si="124"/>
        <v/>
      </c>
      <c r="F198" s="188"/>
      <c r="G198" s="225" t="str">
        <f t="shared" si="125"/>
        <v/>
      </c>
      <c r="AD198" s="27"/>
      <c r="AO198" s="1"/>
      <c r="AP198" s="1"/>
      <c r="AQ198" s="1"/>
      <c r="AR198" s="1"/>
      <c r="BE198" s="1"/>
      <c r="BF198" s="1"/>
    </row>
    <row r="199" spans="2:58" customFormat="1" hidden="1" x14ac:dyDescent="0.2">
      <c r="B199" s="224">
        <v>11</v>
      </c>
      <c r="C199" s="9"/>
      <c r="D199" s="9"/>
      <c r="E199" s="188" t="str">
        <f t="shared" si="124"/>
        <v/>
      </c>
      <c r="F199" s="188"/>
      <c r="G199" s="225" t="str">
        <f t="shared" si="125"/>
        <v/>
      </c>
      <c r="AD199" s="27"/>
      <c r="AO199" s="1"/>
      <c r="AP199" s="1"/>
      <c r="AQ199" s="1"/>
      <c r="AR199" s="1"/>
      <c r="BE199" s="1"/>
      <c r="BF199" s="1"/>
    </row>
    <row r="200" spans="2:58" customFormat="1" hidden="1" x14ac:dyDescent="0.2">
      <c r="B200" s="224">
        <v>12</v>
      </c>
      <c r="C200" s="9"/>
      <c r="D200" s="9"/>
      <c r="E200" s="188" t="str">
        <f t="shared" si="124"/>
        <v/>
      </c>
      <c r="F200" s="188"/>
      <c r="G200" s="225" t="str">
        <f t="shared" si="125"/>
        <v/>
      </c>
      <c r="AD200" s="27"/>
      <c r="AO200" s="1"/>
      <c r="AP200" s="1"/>
      <c r="AQ200" s="1"/>
      <c r="AR200" s="1"/>
      <c r="BE200" s="1"/>
      <c r="BF200" s="1"/>
    </row>
    <row r="201" spans="2:58" customFormat="1" hidden="1" x14ac:dyDescent="0.2">
      <c r="B201" s="224">
        <v>13</v>
      </c>
      <c r="C201" s="9"/>
      <c r="D201" s="9"/>
      <c r="E201" s="188" t="str">
        <f t="shared" si="124"/>
        <v/>
      </c>
      <c r="F201" s="188"/>
      <c r="G201" s="225" t="str">
        <f t="shared" si="125"/>
        <v/>
      </c>
      <c r="AD201" s="27"/>
      <c r="AO201" s="1"/>
      <c r="AP201" s="1"/>
      <c r="AQ201" s="1"/>
      <c r="AR201" s="1"/>
      <c r="BE201" s="1"/>
      <c r="BF201" s="1"/>
    </row>
    <row r="202" spans="2:58" customFormat="1" hidden="1" x14ac:dyDescent="0.2">
      <c r="B202" s="224">
        <v>14</v>
      </c>
      <c r="C202" s="9"/>
      <c r="D202" s="9"/>
      <c r="E202" s="188" t="str">
        <f t="shared" si="124"/>
        <v/>
      </c>
      <c r="F202" s="188"/>
      <c r="G202" s="225" t="str">
        <f t="shared" si="125"/>
        <v/>
      </c>
      <c r="AD202" s="27"/>
      <c r="AO202" s="1"/>
      <c r="AP202" s="1"/>
      <c r="AQ202" s="1"/>
      <c r="AR202" s="1"/>
      <c r="BE202" s="1"/>
      <c r="BF202" s="1"/>
    </row>
    <row r="203" spans="2:58" customFormat="1" hidden="1" x14ac:dyDescent="0.2">
      <c r="B203" s="224">
        <v>15</v>
      </c>
      <c r="C203" s="9"/>
      <c r="D203" s="9"/>
      <c r="E203" s="188" t="str">
        <f t="shared" si="124"/>
        <v/>
      </c>
      <c r="F203" s="188"/>
      <c r="G203" s="225" t="str">
        <f t="shared" si="125"/>
        <v/>
      </c>
      <c r="AD203" s="27"/>
      <c r="AO203" s="1"/>
      <c r="AP203" s="1"/>
      <c r="AQ203" s="1"/>
      <c r="AR203" s="1"/>
      <c r="BE203" s="1"/>
      <c r="BF203" s="1"/>
    </row>
    <row r="204" spans="2:58" customFormat="1" hidden="1" x14ac:dyDescent="0.2">
      <c r="B204" s="224">
        <v>16</v>
      </c>
      <c r="C204" s="9"/>
      <c r="D204" s="9"/>
      <c r="E204" s="188" t="str">
        <f t="shared" si="124"/>
        <v/>
      </c>
      <c r="F204" s="188"/>
      <c r="G204" s="225" t="str">
        <f t="shared" si="125"/>
        <v/>
      </c>
      <c r="AD204" s="27"/>
      <c r="AO204" s="1"/>
      <c r="AP204" s="1"/>
      <c r="AQ204" s="1"/>
      <c r="AR204" s="1"/>
      <c r="BE204" s="1"/>
      <c r="BF204" s="1"/>
    </row>
    <row r="205" spans="2:58" customFormat="1" hidden="1" x14ac:dyDescent="0.2">
      <c r="B205" s="224">
        <v>17</v>
      </c>
      <c r="C205" s="9"/>
      <c r="D205" s="9"/>
      <c r="E205" s="188" t="str">
        <f t="shared" si="124"/>
        <v/>
      </c>
      <c r="F205" s="188"/>
      <c r="G205" s="225" t="str">
        <f t="shared" si="125"/>
        <v/>
      </c>
      <c r="AD205" s="27"/>
      <c r="AO205" s="1"/>
      <c r="AP205" s="1"/>
      <c r="AQ205" s="1"/>
      <c r="AR205" s="1"/>
      <c r="BE205" s="1"/>
      <c r="BF205" s="1"/>
    </row>
    <row r="206" spans="2:58" customFormat="1" ht="13.5" hidden="1" thickBot="1" x14ac:dyDescent="0.25">
      <c r="B206" s="224">
        <v>18</v>
      </c>
      <c r="C206" s="9"/>
      <c r="D206" s="9"/>
      <c r="E206" s="188" t="str">
        <f t="shared" si="124"/>
        <v/>
      </c>
      <c r="F206" s="188"/>
      <c r="G206" s="225" t="str">
        <f>IF(E206=1,CONCATENATE(" Gun ",$B206," identified both as Pistol and Rifle! "),"")</f>
        <v/>
      </c>
      <c r="AD206" s="27"/>
      <c r="AO206" s="1"/>
      <c r="AP206" s="1"/>
      <c r="AQ206" s="1"/>
      <c r="AR206" s="1"/>
      <c r="BE206" s="1"/>
      <c r="BF206" s="1"/>
    </row>
    <row r="207" spans="2:58" customFormat="1" hidden="1" x14ac:dyDescent="0.2">
      <c r="B207" s="180"/>
      <c r="C207" s="181"/>
      <c r="D207" s="181"/>
      <c r="E207" s="226">
        <f>SUM(E189:E206)</f>
        <v>0</v>
      </c>
      <c r="F207" s="487"/>
      <c r="G207" s="227" t="str">
        <f>CONCATENATE(G189,G190,G191,G192,G193,G194,G195,G196,G197,G198,G199,G200,G201,G202,G203,G204,G205,G206,)</f>
        <v/>
      </c>
      <c r="AD207" s="27"/>
      <c r="AO207" s="1"/>
      <c r="AP207" s="1"/>
      <c r="AQ207" s="1"/>
      <c r="AR207" s="1"/>
      <c r="BE207" s="1"/>
      <c r="BF207" s="1"/>
    </row>
    <row r="208" spans="2:58" customFormat="1" hidden="1" x14ac:dyDescent="0.2">
      <c r="AD208" s="27"/>
      <c r="AO208" s="1"/>
      <c r="AP208" s="1"/>
      <c r="AQ208" s="1"/>
      <c r="AR208" s="1"/>
      <c r="BE208" s="1"/>
      <c r="BF208" s="1"/>
    </row>
    <row r="209" spans="2:58" customFormat="1" hidden="1" x14ac:dyDescent="0.2">
      <c r="B209" s="221" t="s">
        <v>245</v>
      </c>
      <c r="C209" s="222"/>
      <c r="D209" s="222"/>
      <c r="E209" s="222"/>
      <c r="F209" s="222"/>
      <c r="G209" s="222"/>
      <c r="H209" s="222"/>
      <c r="I209" s="222"/>
      <c r="J209" s="222"/>
      <c r="K209" s="223"/>
      <c r="AD209" s="27"/>
      <c r="AO209" s="1"/>
      <c r="AP209" s="1"/>
      <c r="AQ209" s="1"/>
      <c r="AR209" s="1"/>
      <c r="BE209" s="1"/>
      <c r="BF209" s="1"/>
    </row>
    <row r="210" spans="2:58" customFormat="1" hidden="1" x14ac:dyDescent="0.2">
      <c r="B210" s="224" t="s">
        <v>235</v>
      </c>
      <c r="C210" s="177" t="s">
        <v>237</v>
      </c>
      <c r="D210" s="195" t="s">
        <v>230</v>
      </c>
      <c r="E210" s="196" t="s">
        <v>231</v>
      </c>
      <c r="F210" s="196"/>
      <c r="G210" s="196" t="s">
        <v>232</v>
      </c>
      <c r="H210" s="196" t="s">
        <v>233</v>
      </c>
      <c r="I210" s="196"/>
      <c r="J210" s="197" t="s">
        <v>234</v>
      </c>
      <c r="K210" s="179"/>
      <c r="AD210" s="27"/>
      <c r="AO210" s="1"/>
      <c r="AP210" s="1"/>
      <c r="AQ210" s="1"/>
      <c r="AR210" s="1"/>
      <c r="BE210" s="1"/>
      <c r="BF210" s="1"/>
    </row>
    <row r="211" spans="2:58" customFormat="1" hidden="1" x14ac:dyDescent="0.2">
      <c r="B211" s="224">
        <v>1</v>
      </c>
      <c r="C211" s="228" t="str">
        <f t="shared" ref="C211:C228" si="126">IF(AND(G144&gt;0,(SUM(D144,H144:K144)&gt;0)),1,"")</f>
        <v/>
      </c>
      <c r="D211" s="185" t="str">
        <f t="shared" ref="D211:D228" si="127">IF(AND($C211=1,D144&gt;0),CONCATENATE(D$143,"; "),"")</f>
        <v/>
      </c>
      <c r="E211" s="185" t="str">
        <f t="shared" ref="E211:E228" si="128">IF(AND($C211=1,H144&gt;0),CONCATENATE(H$143,"; "),"")</f>
        <v/>
      </c>
      <c r="F211" s="185"/>
      <c r="G211" s="185" t="str">
        <f t="shared" ref="G211:G228" si="129">IF(AND($C211=1,J144&gt;0),CONCATENATE(J$143,"; "),"")</f>
        <v/>
      </c>
      <c r="H211" s="185" t="str">
        <f t="shared" ref="H211:H228" si="130">IF(AND($C211=1,K144&gt;0),CONCATENATE(K$143,"; "),"")</f>
        <v/>
      </c>
      <c r="I211" s="185"/>
      <c r="J211" s="185" t="str">
        <f t="shared" ref="J211:J228" si="131">IF(AND($C211=1,L144&gt;0),CONCATENATE(L$143,"; "),"")</f>
        <v/>
      </c>
      <c r="K211" s="229" t="str">
        <f t="shared" ref="K211:K228" si="132">IF(C211=1,CONCATENATE("Vintage Rifle Gun ",$B189," also used in ",CONCATENATE(D211,E211,G211,H211,J211)),"")</f>
        <v/>
      </c>
      <c r="AD211" s="27"/>
      <c r="AO211" s="1"/>
      <c r="AP211" s="1"/>
      <c r="AQ211" s="1"/>
      <c r="AR211" s="1"/>
      <c r="BE211" s="1"/>
      <c r="BF211" s="1"/>
    </row>
    <row r="212" spans="2:58" customFormat="1" hidden="1" x14ac:dyDescent="0.2">
      <c r="B212" s="224">
        <v>2</v>
      </c>
      <c r="C212" s="228" t="str">
        <f t="shared" si="126"/>
        <v/>
      </c>
      <c r="D212" s="185" t="str">
        <f t="shared" si="127"/>
        <v/>
      </c>
      <c r="E212" s="185" t="str">
        <f t="shared" si="128"/>
        <v/>
      </c>
      <c r="F212" s="185"/>
      <c r="G212" s="185" t="str">
        <f t="shared" si="129"/>
        <v/>
      </c>
      <c r="H212" s="185" t="str">
        <f t="shared" si="130"/>
        <v/>
      </c>
      <c r="I212" s="185"/>
      <c r="J212" s="185" t="str">
        <f t="shared" si="131"/>
        <v/>
      </c>
      <c r="K212" s="229" t="str">
        <f t="shared" si="132"/>
        <v/>
      </c>
      <c r="AD212" s="27"/>
      <c r="AO212" s="1"/>
      <c r="AP212" s="1"/>
      <c r="AQ212" s="1"/>
      <c r="AR212" s="1"/>
      <c r="BE212" s="1"/>
      <c r="BF212" s="1"/>
    </row>
    <row r="213" spans="2:58" customFormat="1" hidden="1" x14ac:dyDescent="0.2">
      <c r="B213" s="224">
        <v>3</v>
      </c>
      <c r="C213" s="228" t="str">
        <f t="shared" si="126"/>
        <v/>
      </c>
      <c r="D213" s="185" t="str">
        <f t="shared" si="127"/>
        <v/>
      </c>
      <c r="E213" s="185" t="str">
        <f t="shared" si="128"/>
        <v/>
      </c>
      <c r="F213" s="185"/>
      <c r="G213" s="185" t="str">
        <f t="shared" si="129"/>
        <v/>
      </c>
      <c r="H213" s="185" t="str">
        <f t="shared" si="130"/>
        <v/>
      </c>
      <c r="I213" s="185"/>
      <c r="J213" s="185" t="str">
        <f t="shared" si="131"/>
        <v/>
      </c>
      <c r="K213" s="229" t="str">
        <f t="shared" si="132"/>
        <v/>
      </c>
      <c r="AD213" s="27"/>
      <c r="AO213" s="1"/>
      <c r="AP213" s="1"/>
      <c r="AQ213" s="1"/>
      <c r="AR213" s="1"/>
      <c r="BE213" s="1"/>
      <c r="BF213" s="1"/>
    </row>
    <row r="214" spans="2:58" customFormat="1" hidden="1" x14ac:dyDescent="0.2">
      <c r="B214" s="224">
        <v>4</v>
      </c>
      <c r="C214" s="228" t="str">
        <f t="shared" si="126"/>
        <v/>
      </c>
      <c r="D214" s="185" t="str">
        <f t="shared" si="127"/>
        <v/>
      </c>
      <c r="E214" s="185" t="str">
        <f t="shared" si="128"/>
        <v/>
      </c>
      <c r="F214" s="185"/>
      <c r="G214" s="185" t="str">
        <f t="shared" si="129"/>
        <v/>
      </c>
      <c r="H214" s="185" t="str">
        <f t="shared" si="130"/>
        <v/>
      </c>
      <c r="I214" s="185"/>
      <c r="J214" s="185" t="str">
        <f t="shared" si="131"/>
        <v/>
      </c>
      <c r="K214" s="229" t="str">
        <f t="shared" si="132"/>
        <v/>
      </c>
      <c r="AD214" s="27"/>
      <c r="AO214" s="1"/>
      <c r="AP214" s="1"/>
      <c r="AQ214" s="1"/>
      <c r="AR214" s="1"/>
      <c r="BE214" s="1"/>
      <c r="BF214" s="1"/>
    </row>
    <row r="215" spans="2:58" customFormat="1" hidden="1" x14ac:dyDescent="0.2">
      <c r="B215" s="224">
        <v>5</v>
      </c>
      <c r="C215" s="228" t="str">
        <f t="shared" si="126"/>
        <v/>
      </c>
      <c r="D215" s="185" t="str">
        <f t="shared" si="127"/>
        <v/>
      </c>
      <c r="E215" s="185" t="str">
        <f t="shared" si="128"/>
        <v/>
      </c>
      <c r="F215" s="185"/>
      <c r="G215" s="185" t="str">
        <f t="shared" si="129"/>
        <v/>
      </c>
      <c r="H215" s="185" t="str">
        <f t="shared" si="130"/>
        <v/>
      </c>
      <c r="I215" s="185"/>
      <c r="J215" s="185" t="str">
        <f t="shared" si="131"/>
        <v/>
      </c>
      <c r="K215" s="229" t="str">
        <f t="shared" si="132"/>
        <v/>
      </c>
      <c r="AD215" s="27"/>
      <c r="AO215" s="1"/>
      <c r="AP215" s="1"/>
      <c r="AQ215" s="1"/>
      <c r="AR215" s="1"/>
      <c r="BE215" s="1"/>
      <c r="BF215" s="1"/>
    </row>
    <row r="216" spans="2:58" customFormat="1" hidden="1" x14ac:dyDescent="0.2">
      <c r="B216" s="224">
        <v>6</v>
      </c>
      <c r="C216" s="228" t="str">
        <f t="shared" si="126"/>
        <v/>
      </c>
      <c r="D216" s="185" t="str">
        <f t="shared" si="127"/>
        <v/>
      </c>
      <c r="E216" s="185" t="str">
        <f t="shared" si="128"/>
        <v/>
      </c>
      <c r="F216" s="185"/>
      <c r="G216" s="185" t="str">
        <f t="shared" si="129"/>
        <v/>
      </c>
      <c r="H216" s="185" t="str">
        <f t="shared" si="130"/>
        <v/>
      </c>
      <c r="I216" s="185"/>
      <c r="J216" s="185" t="str">
        <f t="shared" si="131"/>
        <v/>
      </c>
      <c r="K216" s="229" t="str">
        <f t="shared" si="132"/>
        <v/>
      </c>
      <c r="AD216" s="27"/>
      <c r="AO216" s="1"/>
      <c r="AP216" s="1"/>
      <c r="AQ216" s="1"/>
      <c r="AR216" s="1"/>
      <c r="BE216" s="1"/>
      <c r="BF216" s="1"/>
    </row>
    <row r="217" spans="2:58" customFormat="1" hidden="1" x14ac:dyDescent="0.2">
      <c r="B217" s="224">
        <v>7</v>
      </c>
      <c r="C217" s="228" t="str">
        <f t="shared" si="126"/>
        <v/>
      </c>
      <c r="D217" s="185" t="str">
        <f t="shared" si="127"/>
        <v/>
      </c>
      <c r="E217" s="185" t="str">
        <f t="shared" si="128"/>
        <v/>
      </c>
      <c r="F217" s="185"/>
      <c r="G217" s="185" t="str">
        <f t="shared" si="129"/>
        <v/>
      </c>
      <c r="H217" s="185" t="str">
        <f t="shared" si="130"/>
        <v/>
      </c>
      <c r="I217" s="185"/>
      <c r="J217" s="185" t="str">
        <f t="shared" si="131"/>
        <v/>
      </c>
      <c r="K217" s="229" t="str">
        <f t="shared" si="132"/>
        <v/>
      </c>
      <c r="AD217" s="27"/>
      <c r="AO217" s="1"/>
      <c r="AP217" s="1"/>
      <c r="AQ217" s="1"/>
      <c r="AR217" s="1"/>
      <c r="BE217" s="1"/>
      <c r="BF217" s="1"/>
    </row>
    <row r="218" spans="2:58" customFormat="1" hidden="1" x14ac:dyDescent="0.2">
      <c r="B218" s="224">
        <v>8</v>
      </c>
      <c r="C218" s="228" t="str">
        <f t="shared" si="126"/>
        <v/>
      </c>
      <c r="D218" s="185" t="str">
        <f t="shared" si="127"/>
        <v/>
      </c>
      <c r="E218" s="185" t="str">
        <f t="shared" si="128"/>
        <v/>
      </c>
      <c r="F218" s="185"/>
      <c r="G218" s="185" t="str">
        <f t="shared" si="129"/>
        <v/>
      </c>
      <c r="H218" s="185" t="str">
        <f t="shared" si="130"/>
        <v/>
      </c>
      <c r="I218" s="185"/>
      <c r="J218" s="185" t="str">
        <f t="shared" si="131"/>
        <v/>
      </c>
      <c r="K218" s="229" t="str">
        <f t="shared" si="132"/>
        <v/>
      </c>
      <c r="AD218" s="27"/>
      <c r="AO218" s="1"/>
      <c r="AP218" s="1"/>
      <c r="AQ218" s="1"/>
      <c r="AR218" s="1"/>
      <c r="BE218" s="1"/>
      <c r="BF218" s="1"/>
    </row>
    <row r="219" spans="2:58" customFormat="1" hidden="1" x14ac:dyDescent="0.2">
      <c r="B219" s="224">
        <v>9</v>
      </c>
      <c r="C219" s="228" t="str">
        <f t="shared" si="126"/>
        <v/>
      </c>
      <c r="D219" s="185" t="str">
        <f t="shared" si="127"/>
        <v/>
      </c>
      <c r="E219" s="185" t="str">
        <f t="shared" si="128"/>
        <v/>
      </c>
      <c r="F219" s="185"/>
      <c r="G219" s="185" t="str">
        <f t="shared" si="129"/>
        <v/>
      </c>
      <c r="H219" s="185" t="str">
        <f t="shared" si="130"/>
        <v/>
      </c>
      <c r="I219" s="185"/>
      <c r="J219" s="185" t="str">
        <f t="shared" si="131"/>
        <v/>
      </c>
      <c r="K219" s="229" t="str">
        <f t="shared" si="132"/>
        <v/>
      </c>
      <c r="AD219" s="27"/>
      <c r="AO219" s="1"/>
      <c r="AP219" s="1"/>
      <c r="AQ219" s="1"/>
      <c r="AR219" s="1"/>
      <c r="BE219" s="1"/>
      <c r="BF219" s="1"/>
    </row>
    <row r="220" spans="2:58" customFormat="1" hidden="1" x14ac:dyDescent="0.2">
      <c r="B220" s="224">
        <v>10</v>
      </c>
      <c r="C220" s="228" t="str">
        <f t="shared" si="126"/>
        <v/>
      </c>
      <c r="D220" s="185" t="str">
        <f t="shared" si="127"/>
        <v/>
      </c>
      <c r="E220" s="185" t="str">
        <f t="shared" si="128"/>
        <v/>
      </c>
      <c r="F220" s="185"/>
      <c r="G220" s="185" t="str">
        <f t="shared" si="129"/>
        <v/>
      </c>
      <c r="H220" s="185" t="str">
        <f t="shared" si="130"/>
        <v/>
      </c>
      <c r="I220" s="185"/>
      <c r="J220" s="185" t="str">
        <f t="shared" si="131"/>
        <v/>
      </c>
      <c r="K220" s="229" t="str">
        <f t="shared" si="132"/>
        <v/>
      </c>
      <c r="AD220" s="27"/>
      <c r="AO220" s="1"/>
      <c r="AP220" s="1"/>
      <c r="AQ220" s="1"/>
      <c r="AR220" s="1"/>
      <c r="BE220" s="1"/>
      <c r="BF220" s="1"/>
    </row>
    <row r="221" spans="2:58" customFormat="1" hidden="1" x14ac:dyDescent="0.2">
      <c r="B221" s="224">
        <v>11</v>
      </c>
      <c r="C221" s="228" t="str">
        <f t="shared" si="126"/>
        <v/>
      </c>
      <c r="D221" s="185" t="str">
        <f t="shared" si="127"/>
        <v/>
      </c>
      <c r="E221" s="185" t="str">
        <f t="shared" si="128"/>
        <v/>
      </c>
      <c r="F221" s="185"/>
      <c r="G221" s="185" t="str">
        <f t="shared" si="129"/>
        <v/>
      </c>
      <c r="H221" s="185" t="str">
        <f t="shared" si="130"/>
        <v/>
      </c>
      <c r="I221" s="185"/>
      <c r="J221" s="185" t="str">
        <f t="shared" si="131"/>
        <v/>
      </c>
      <c r="K221" s="229" t="str">
        <f t="shared" si="132"/>
        <v/>
      </c>
      <c r="AD221" s="27"/>
      <c r="AO221" s="1"/>
      <c r="AP221" s="1"/>
      <c r="AQ221" s="1"/>
      <c r="AR221" s="1"/>
      <c r="BE221" s="1"/>
      <c r="BF221" s="1"/>
    </row>
    <row r="222" spans="2:58" customFormat="1" hidden="1" x14ac:dyDescent="0.2">
      <c r="B222" s="224">
        <v>12</v>
      </c>
      <c r="C222" s="228" t="str">
        <f t="shared" si="126"/>
        <v/>
      </c>
      <c r="D222" s="185" t="str">
        <f t="shared" si="127"/>
        <v/>
      </c>
      <c r="E222" s="185" t="str">
        <f t="shared" si="128"/>
        <v/>
      </c>
      <c r="F222" s="185"/>
      <c r="G222" s="185" t="str">
        <f t="shared" si="129"/>
        <v/>
      </c>
      <c r="H222" s="185" t="str">
        <f t="shared" si="130"/>
        <v/>
      </c>
      <c r="I222" s="185"/>
      <c r="J222" s="185" t="str">
        <f t="shared" si="131"/>
        <v/>
      </c>
      <c r="K222" s="229" t="str">
        <f t="shared" si="132"/>
        <v/>
      </c>
      <c r="AD222" s="27"/>
      <c r="AO222" s="1"/>
      <c r="AP222" s="1"/>
      <c r="AQ222" s="1"/>
      <c r="AR222" s="1"/>
      <c r="BE222" s="1"/>
      <c r="BF222" s="1"/>
    </row>
    <row r="223" spans="2:58" customFormat="1" hidden="1" x14ac:dyDescent="0.2">
      <c r="B223" s="224">
        <v>13</v>
      </c>
      <c r="C223" s="228" t="str">
        <f t="shared" si="126"/>
        <v/>
      </c>
      <c r="D223" s="185" t="str">
        <f t="shared" si="127"/>
        <v/>
      </c>
      <c r="E223" s="185" t="str">
        <f t="shared" si="128"/>
        <v/>
      </c>
      <c r="F223" s="185"/>
      <c r="G223" s="185" t="str">
        <f t="shared" si="129"/>
        <v/>
      </c>
      <c r="H223" s="185" t="str">
        <f t="shared" si="130"/>
        <v/>
      </c>
      <c r="I223" s="185"/>
      <c r="J223" s="185" t="str">
        <f t="shared" si="131"/>
        <v/>
      </c>
      <c r="K223" s="229" t="str">
        <f t="shared" si="132"/>
        <v/>
      </c>
      <c r="AD223" s="27"/>
      <c r="AO223" s="1"/>
      <c r="AP223" s="1"/>
      <c r="AQ223" s="1"/>
      <c r="AR223" s="1"/>
      <c r="BE223" s="1"/>
      <c r="BF223" s="1"/>
    </row>
    <row r="224" spans="2:58" customFormat="1" hidden="1" x14ac:dyDescent="0.2">
      <c r="B224" s="224">
        <v>14</v>
      </c>
      <c r="C224" s="228" t="str">
        <f t="shared" si="126"/>
        <v/>
      </c>
      <c r="D224" s="185" t="str">
        <f t="shared" si="127"/>
        <v/>
      </c>
      <c r="E224" s="185" t="str">
        <f t="shared" si="128"/>
        <v/>
      </c>
      <c r="F224" s="185"/>
      <c r="G224" s="185" t="str">
        <f t="shared" si="129"/>
        <v/>
      </c>
      <c r="H224" s="185" t="str">
        <f t="shared" si="130"/>
        <v/>
      </c>
      <c r="I224" s="185"/>
      <c r="J224" s="185" t="str">
        <f t="shared" si="131"/>
        <v/>
      </c>
      <c r="K224" s="229" t="str">
        <f t="shared" si="132"/>
        <v/>
      </c>
      <c r="AD224" s="27"/>
      <c r="AO224" s="1"/>
      <c r="AP224" s="1"/>
      <c r="AQ224" s="1"/>
      <c r="AR224" s="1"/>
      <c r="BE224" s="1"/>
      <c r="BF224" s="1"/>
    </row>
    <row r="225" spans="2:67" hidden="1" x14ac:dyDescent="0.2">
      <c r="B225" s="224">
        <v>15</v>
      </c>
      <c r="C225" s="228" t="str">
        <f t="shared" si="126"/>
        <v/>
      </c>
      <c r="D225" s="185" t="str">
        <f t="shared" si="127"/>
        <v/>
      </c>
      <c r="E225" s="185" t="str">
        <f t="shared" si="128"/>
        <v/>
      </c>
      <c r="F225" s="185"/>
      <c r="G225" s="185" t="str">
        <f t="shared" si="129"/>
        <v/>
      </c>
      <c r="H225" s="185" t="str">
        <f t="shared" si="130"/>
        <v/>
      </c>
      <c r="I225" s="185"/>
      <c r="J225" s="185" t="str">
        <f t="shared" si="131"/>
        <v/>
      </c>
      <c r="K225" s="229" t="str">
        <f t="shared" si="132"/>
        <v/>
      </c>
      <c r="AD225" s="27"/>
      <c r="AH225"/>
      <c r="AJ225"/>
      <c r="AK225"/>
      <c r="AL225"/>
      <c r="AN225"/>
      <c r="AO225" s="1"/>
      <c r="AP225" s="1"/>
      <c r="AQ225" s="1"/>
      <c r="AR225" s="1"/>
      <c r="AY225"/>
      <c r="AZ225"/>
      <c r="BA225"/>
      <c r="BB225"/>
      <c r="BE225" s="1"/>
      <c r="BF225" s="1"/>
      <c r="BN225"/>
      <c r="BO225"/>
    </row>
    <row r="226" spans="2:67" hidden="1" x14ac:dyDescent="0.2">
      <c r="B226" s="224">
        <v>16</v>
      </c>
      <c r="C226" s="228" t="str">
        <f t="shared" si="126"/>
        <v/>
      </c>
      <c r="D226" s="185" t="str">
        <f t="shared" si="127"/>
        <v/>
      </c>
      <c r="E226" s="185" t="str">
        <f t="shared" si="128"/>
        <v/>
      </c>
      <c r="F226" s="185"/>
      <c r="G226" s="185" t="str">
        <f t="shared" si="129"/>
        <v/>
      </c>
      <c r="H226" s="185" t="str">
        <f t="shared" si="130"/>
        <v/>
      </c>
      <c r="I226" s="185"/>
      <c r="J226" s="185" t="str">
        <f t="shared" si="131"/>
        <v/>
      </c>
      <c r="K226" s="229" t="str">
        <f t="shared" si="132"/>
        <v/>
      </c>
      <c r="AD226" s="27"/>
      <c r="AH226"/>
      <c r="AJ226"/>
      <c r="AK226"/>
      <c r="AL226"/>
      <c r="AN226"/>
      <c r="AO226" s="1"/>
      <c r="AP226" s="1"/>
      <c r="AQ226" s="1"/>
      <c r="AR226" s="1"/>
      <c r="AY226"/>
      <c r="AZ226"/>
      <c r="BA226"/>
      <c r="BB226"/>
      <c r="BE226" s="1"/>
      <c r="BF226" s="1"/>
      <c r="BN226"/>
      <c r="BO226"/>
    </row>
    <row r="227" spans="2:67" hidden="1" x14ac:dyDescent="0.2">
      <c r="B227" s="224">
        <v>17</v>
      </c>
      <c r="C227" s="228" t="str">
        <f t="shared" si="126"/>
        <v/>
      </c>
      <c r="D227" s="185" t="str">
        <f t="shared" si="127"/>
        <v/>
      </c>
      <c r="E227" s="185" t="str">
        <f t="shared" si="128"/>
        <v/>
      </c>
      <c r="F227" s="185"/>
      <c r="G227" s="185" t="str">
        <f t="shared" si="129"/>
        <v/>
      </c>
      <c r="H227" s="185" t="str">
        <f t="shared" si="130"/>
        <v/>
      </c>
      <c r="I227" s="185"/>
      <c r="J227" s="185" t="str">
        <f t="shared" si="131"/>
        <v/>
      </c>
      <c r="K227" s="229" t="str">
        <f t="shared" si="132"/>
        <v/>
      </c>
      <c r="AD227" s="27"/>
      <c r="AH227"/>
      <c r="AJ227"/>
      <c r="AK227"/>
      <c r="AL227"/>
      <c r="AN227"/>
      <c r="AO227" s="1"/>
      <c r="AP227" s="1"/>
      <c r="AQ227" s="1"/>
      <c r="AR227" s="1"/>
      <c r="AY227"/>
      <c r="AZ227"/>
      <c r="BA227"/>
      <c r="BB227"/>
      <c r="BE227" s="1"/>
      <c r="BF227" s="1"/>
      <c r="BN227"/>
      <c r="BO227"/>
    </row>
    <row r="228" spans="2:67" ht="13.5" hidden="1" thickBot="1" x14ac:dyDescent="0.25">
      <c r="B228" s="224">
        <v>18</v>
      </c>
      <c r="C228" s="228" t="str">
        <f t="shared" si="126"/>
        <v/>
      </c>
      <c r="D228" s="185" t="str">
        <f t="shared" si="127"/>
        <v/>
      </c>
      <c r="E228" s="185" t="str">
        <f t="shared" si="128"/>
        <v/>
      </c>
      <c r="F228" s="185"/>
      <c r="G228" s="185" t="str">
        <f t="shared" si="129"/>
        <v/>
      </c>
      <c r="H228" s="185" t="str">
        <f t="shared" si="130"/>
        <v/>
      </c>
      <c r="I228" s="185"/>
      <c r="J228" s="185" t="str">
        <f t="shared" si="131"/>
        <v/>
      </c>
      <c r="K228" s="229" t="str">
        <f t="shared" si="132"/>
        <v/>
      </c>
      <c r="AD228" s="27"/>
      <c r="AH228"/>
      <c r="AJ228"/>
      <c r="AK228"/>
      <c r="AL228"/>
      <c r="AN228"/>
      <c r="AO228" s="1"/>
      <c r="AP228" s="1"/>
      <c r="AQ228" s="1"/>
      <c r="AR228" s="1"/>
      <c r="AY228"/>
      <c r="AZ228"/>
      <c r="BA228"/>
      <c r="BB228"/>
      <c r="BE228" s="1"/>
      <c r="BF228" s="1"/>
      <c r="BN228"/>
      <c r="BO228"/>
    </row>
    <row r="229" spans="2:67" hidden="1" x14ac:dyDescent="0.2">
      <c r="B229" s="180"/>
      <c r="C229" s="230">
        <f>SUM(C211:C228)</f>
        <v>0</v>
      </c>
      <c r="D229" s="181"/>
      <c r="E229" s="181"/>
      <c r="F229" s="181"/>
      <c r="G229" s="181"/>
      <c r="H229" s="181"/>
      <c r="I229" s="181"/>
      <c r="J229" s="181"/>
      <c r="K229" s="231" t="str">
        <f>CONCATENATE(K211,K212,K213,K214,K215,K216,K217,K218,K219,K220,K221,K222,K223,K224,K225,K226,K227,K228,)</f>
        <v/>
      </c>
      <c r="AD229" s="27"/>
      <c r="AH229"/>
      <c r="AJ229"/>
      <c r="AK229"/>
      <c r="AL229"/>
      <c r="AN229"/>
      <c r="AO229" s="1"/>
      <c r="AP229" s="1"/>
      <c r="AQ229" s="1"/>
      <c r="AR229" s="1"/>
      <c r="AY229"/>
      <c r="AZ229"/>
      <c r="BA229"/>
      <c r="BB229"/>
      <c r="BE229" s="1"/>
      <c r="BF229" s="1"/>
      <c r="BN229"/>
      <c r="BO229"/>
    </row>
    <row r="230" spans="2:67" x14ac:dyDescent="0.2">
      <c r="AD230" s="27"/>
      <c r="AH230"/>
      <c r="AJ230"/>
      <c r="AK230"/>
      <c r="AL230"/>
      <c r="AN230"/>
      <c r="AO230" s="1"/>
      <c r="AP230" s="1"/>
      <c r="AQ230" s="1"/>
      <c r="AR230" s="1"/>
      <c r="AY230"/>
      <c r="AZ230"/>
      <c r="BA230"/>
      <c r="BB230"/>
      <c r="BE230" s="1"/>
      <c r="BF230" s="1"/>
      <c r="BN230"/>
      <c r="BO230"/>
    </row>
    <row r="231" spans="2:67" x14ac:dyDescent="0.2">
      <c r="AD231" s="27"/>
      <c r="AH231"/>
      <c r="AJ231"/>
      <c r="AK231"/>
      <c r="AL231"/>
      <c r="AN231"/>
      <c r="AO231" s="1"/>
      <c r="AP231" s="1"/>
      <c r="AQ231" s="1"/>
      <c r="AR231" s="1"/>
      <c r="AY231"/>
      <c r="AZ231"/>
      <c r="BA231"/>
      <c r="BB231"/>
      <c r="BE231" s="1"/>
      <c r="BF231" s="1"/>
      <c r="BN231"/>
      <c r="BO231"/>
    </row>
    <row r="232" spans="2:67" x14ac:dyDescent="0.2">
      <c r="AD232" s="27"/>
      <c r="AH232"/>
      <c r="AJ232"/>
      <c r="AK232"/>
      <c r="AL232"/>
      <c r="AN232"/>
      <c r="AO232" s="1"/>
      <c r="AP232" s="1"/>
      <c r="AQ232" s="1"/>
      <c r="AR232" s="1"/>
      <c r="AY232"/>
      <c r="AZ232"/>
      <c r="BA232"/>
      <c r="BB232"/>
      <c r="BE232" s="1"/>
      <c r="BF232" s="1"/>
      <c r="BN232"/>
      <c r="BO232"/>
    </row>
    <row r="233" spans="2:67" x14ac:dyDescent="0.2">
      <c r="AD233" s="27"/>
      <c r="AH233"/>
      <c r="AJ233"/>
      <c r="AK233"/>
      <c r="AL233"/>
      <c r="AN233"/>
      <c r="AO233" s="1"/>
      <c r="AP233" s="1"/>
      <c r="AQ233" s="1"/>
      <c r="AR233" s="1"/>
      <c r="AY233"/>
      <c r="AZ233"/>
      <c r="BA233"/>
      <c r="BB233"/>
      <c r="BE233" s="1"/>
      <c r="BF233" s="1"/>
      <c r="BN233"/>
      <c r="BO233"/>
    </row>
    <row r="234" spans="2:67" x14ac:dyDescent="0.2">
      <c r="AD234" s="27"/>
      <c r="AH234"/>
      <c r="AJ234"/>
      <c r="AK234"/>
      <c r="AL234"/>
      <c r="AN234"/>
      <c r="AO234" s="1"/>
      <c r="AP234" s="1"/>
      <c r="AQ234" s="1"/>
      <c r="AR234" s="1"/>
      <c r="AY234"/>
      <c r="AZ234"/>
      <c r="BA234"/>
      <c r="BB234"/>
      <c r="BE234" s="1"/>
      <c r="BF234" s="1"/>
      <c r="BN234"/>
      <c r="BO234"/>
    </row>
    <row r="235" spans="2:67" x14ac:dyDescent="0.2">
      <c r="AD235" s="27"/>
      <c r="AH235"/>
      <c r="AJ235"/>
      <c r="AK235"/>
      <c r="AL235"/>
      <c r="AN235"/>
      <c r="AO235" s="1"/>
      <c r="AP235" s="1"/>
      <c r="AQ235" s="1"/>
      <c r="AR235" s="1"/>
      <c r="AY235"/>
      <c r="AZ235"/>
      <c r="BA235"/>
      <c r="BB235"/>
      <c r="BE235" s="1"/>
      <c r="BF235" s="1"/>
      <c r="BN235"/>
      <c r="BO235"/>
    </row>
  </sheetData>
  <sheetProtection password="C858" sheet="1" objects="1" scenarios="1"/>
  <protectedRanges>
    <protectedRange sqref="V7" name="Number of Pages"/>
    <protectedRange sqref="T7" name="Page No."/>
    <protectedRange sqref="O10" name="District_1"/>
    <protectedRange sqref="I10" name="Group or Unit_1"/>
    <protectedRange sqref="V10" name="County"/>
    <protectedRange sqref="D10:E10" name="Team Type"/>
    <protectedRange sqref="B17:Y43" name="Entrant Data"/>
  </protectedRanges>
  <mergeCells count="29">
    <mergeCell ref="B14:C14"/>
    <mergeCell ref="B11:C11"/>
    <mergeCell ref="D10:E10"/>
    <mergeCell ref="T10:U10"/>
    <mergeCell ref="M10:N10"/>
    <mergeCell ref="B13:C13"/>
    <mergeCell ref="B10:C10"/>
    <mergeCell ref="O10:S10"/>
    <mergeCell ref="B12:C12"/>
    <mergeCell ref="I10:L10"/>
    <mergeCell ref="H85:O85"/>
    <mergeCell ref="M11:Y11"/>
    <mergeCell ref="S16:U16"/>
    <mergeCell ref="S13:U13"/>
    <mergeCell ref="P14:Q14"/>
    <mergeCell ref="S14:U14"/>
    <mergeCell ref="P13:Q13"/>
    <mergeCell ref="M12:U12"/>
    <mergeCell ref="V16:W16"/>
    <mergeCell ref="V12:Y12"/>
    <mergeCell ref="V13:W14"/>
    <mergeCell ref="X13:X14"/>
    <mergeCell ref="Y13:Y14"/>
    <mergeCell ref="J6:Q6"/>
    <mergeCell ref="J3:Q3"/>
    <mergeCell ref="J4:Q4"/>
    <mergeCell ref="D8:V8"/>
    <mergeCell ref="V10:Y10"/>
    <mergeCell ref="F10:H10"/>
  </mergeCells>
  <phoneticPr fontId="13" type="noConversion"/>
  <conditionalFormatting sqref="J44">
    <cfRule type="cellIs" dxfId="21" priority="6" stopIfTrue="1" operator="greaterThan">
      <formula>0</formula>
    </cfRule>
  </conditionalFormatting>
  <conditionalFormatting sqref="G112:G138">
    <cfRule type="cellIs" dxfId="20" priority="5" stopIfTrue="1" operator="greaterThan">
      <formula>3</formula>
    </cfRule>
  </conditionalFormatting>
  <conditionalFormatting sqref="J112:J138 J140">
    <cfRule type="cellIs" dxfId="19" priority="4" stopIfTrue="1" operator="greaterThan">
      <formula>2</formula>
    </cfRule>
  </conditionalFormatting>
  <conditionalFormatting sqref="B45">
    <cfRule type="cellIs" dxfId="18" priority="3" stopIfTrue="1" operator="greaterThan">
      <formula>0</formula>
    </cfRule>
  </conditionalFormatting>
  <conditionalFormatting sqref="C45">
    <cfRule type="notContainsBlanks" dxfId="17" priority="7" stopIfTrue="1">
      <formula>LEN(TRIM(C45))&gt;0</formula>
    </cfRule>
  </conditionalFormatting>
  <conditionalFormatting sqref="Z17:Z43">
    <cfRule type="notContainsBlanks" dxfId="16" priority="1" stopIfTrue="1">
      <formula>LEN(TRIM(Z17))&gt;0</formula>
    </cfRule>
  </conditionalFormatting>
  <dataValidations xWindow="243" yWindow="323" count="40">
    <dataValidation type="textLength" allowBlank="1" showInputMessage="1" showErrorMessage="1" errorTitle="Surname" error="Length must be between 2 and 36 characters" promptTitle="Surname" prompt="Length between 2 and 36 characters" sqref="C17:C43">
      <formula1>2</formula1>
      <formula2>36</formula2>
    </dataValidation>
    <dataValidation type="date" allowBlank="1" showInputMessage="1" showErrorMessage="1" errorTitle="Date out of range" error="Date must be before 16th October 2001" promptTitle="Date of Birth" prompt="Enter format dd/mm/yyyy. 01/01/1900 will be assumed if age suppressed (Permitted for those over 25 only - see rule 20 for the consequence of this)." sqref="D44">
      <formula1>1</formula1>
      <formula2>37179</formula2>
    </dataValidation>
    <dataValidation type="whole" allowBlank="1" showInputMessage="1" showErrorMessage="1" errorTitle="Invalid Entry" error="Scout Association Member No._x000a_This is an integer of not more than 6 digits._x000a_You may ignore leading zeroes" promptTitle="Scout Association Member No." prompt="Required if Date of Birth is before 16 Oct-1993_x000a_You may ignore leading zeroes" sqref="G44">
      <formula1>1</formula1>
      <formula2>99999999</formula2>
    </dataValidation>
    <dataValidation type="list" allowBlank="1" showInputMessage="1" showErrorMessage="1" errorTitle="Invalid Entry" error="Enter R for Range Officer or leave blank" promptTitle="Range Officer?" prompt="Enter R for Range Officer_x000a_" sqref="K17:K44">
      <formula1>$AA$25</formula1>
    </dataValidation>
    <dataValidation type="textLength" operator="lessThanOrEqual" allowBlank="1" showInputMessage="1" showErrorMessage="1" errorTitle="Invalid Entry" error="Limit is 20 Characters" promptTitle="3-P Team Name" prompt="Maximum length is 20 characters." sqref="U17:U44 V44">
      <formula1>20</formula1>
    </dataValidation>
    <dataValidation type="whole" allowBlank="1" showInputMessage="1" showErrorMessage="1" errorTitle="Invalid entry!" error="Team type is one of the following_x000a_1. Scout Group _x000a_2. Explorer Scout Unit_x000a_3. Scout Group with &quot;its own&quot; Explorer Scout Unit_x000a_4. Scout District_x000a_5. Scout County/Area" promptTitle="Enter Type of Team" prompt="1. Scout Group _x000a_2. Explorer Scout Unit not attached to a specific Scout Group _x000a_3. Scout Group with an Explorer Scout Unit attached specifically to it _x000a_4. Scout District_x000a_5. Scout County/Area" sqref="D10">
      <formula1>1</formula1>
      <formula2>5</formula2>
    </dataValidation>
    <dataValidation type="list" allowBlank="1" showInputMessage="1" showErrorMessage="1" errorTitle="Summer Biathlon Entry" error="Use dropdown box or leave blank_x000a_" promptTitle="Summer Biathlon" prompt="Enter Y if entering the Summer Biathlon._x000a__x000a_Otherwise leave blank" sqref="W44">
      <formula1>$AA$30</formula1>
    </dataValidation>
    <dataValidation type="list" allowBlank="1" showInputMessage="1" showErrorMessage="1" promptTitle="Entering Fullbore Class A?" prompt="Minimum Age 14_x000a_Enter Y or leave blank" sqref="X44">
      <formula1>$AA$30</formula1>
    </dataValidation>
    <dataValidation type="list" allowBlank="1" showInputMessage="1" showErrorMessage="1" errorTitle="Invalid entry" error="Enter X for a Leader or Range Officer NOT entering the Knockout or leave blank" promptTitle="No Knockout?" prompt="Enter X for a Leader or Range Officer NOT entering the Knockout" sqref="L44">
      <formula1>$AA$27</formula1>
    </dataValidation>
    <dataValidation type="list" allowBlank="1" showInputMessage="1" showErrorMessage="1" errorTitle="Invalid Entry" error="Enter Y or leave blank" promptTitle="Entering Small-bore Class A?" prompt="Minimum age 12._x000a_Enter Y or leave blank." sqref="Y44">
      <formula1>$AA$30</formula1>
    </dataValidation>
    <dataValidation type="list" allowBlank="1" showInputMessage="1" showErrorMessage="1" errorTitle="Invalid Team" error="Select from dropdown box" promptTitle="Connaught Team member?" prompt="Select from Drop-down box._x000a_Three entrants per team._x000a_Junior Teams all aged under 14_x000a_Senior Teams may include not more than one member aged 25 or over._x000a_" sqref="J18:J20 J22:J24 J26:J28 J30:J43">
      <formula1>$AA$14:$AA$24</formula1>
    </dataValidation>
    <dataValidation type="date" allowBlank="1" showInputMessage="1" showErrorMessage="1" errorTitle="Date out of range" error="Minimum age for entry is 10 yrs on the Saturday of the competition." promptTitle="Date of Birth" prompt="Enter format dd/mm/yyyy. 01/01/1900 will be assumed if age suppressed (Permitted for those over 25 only - see rule 20 for the consequence of this)." sqref="D17:D43">
      <formula1>4384</formula1>
      <formula2>Youngest_Entrant_DoB</formula2>
    </dataValidation>
    <dataValidation type="whole" allowBlank="1" showInputMessage="1" showErrorMessage="1" errorTitle="Invalid Entry" error="Scout Association Member No._x000a_This is an integer of not more than 8 digits._x000a_You may ignore leading zeroes" promptTitle="Scout Association Member No." prompt="Required for all competitors aged 18 &amp; over on the Saturday of the competition._x000a_You may ignore leading zeroes" sqref="G17:G43">
      <formula1>1</formula1>
      <formula2>99999999</formula2>
    </dataValidation>
    <dataValidation type="textLength" allowBlank="1" showInputMessage="1" showErrorMessage="1" error="Length must be between 2 &amp; 18 Characters" promptTitle="First Name" prompt="Length between 2 &amp; 18 Characters" sqref="B17:B43">
      <formula1>2</formula1>
      <formula2>18</formula2>
    </dataValidation>
    <dataValidation type="list" showDropDown="1" showInputMessage="1" showErrorMessage="1" errorTitle="Invalid Competitor Number" error="Enter Y if person competed last year but entrant number not known_x000a__x000a_Enter N if person did not compete last year_x000a_" promptTitle="Entrant Last Year?" prompt="If this person did NOT compete last year - enter N;_x000a__x000a_If this person did compete last year -_x000a_Enter Last year's competitor number if known or_x000a_Enter Y if entered last year and Competitor number not known" sqref="H44:I44">
      <formula1>#REF!</formula1>
    </dataValidation>
    <dataValidation type="list" allowBlank="1" showInputMessage="1" showErrorMessage="1" errorTitle="Summer Biathlon Entry" error="Use dropdown box or leave blank_x000a_" promptTitle="ISSF Target Sprint Class B" prompt="Enter Y if entering Target Sprint Class B. Enter YnShare if using a shared &quot;Own Rifle&quot;._x000a__x000a_Otherwise leave blank_x000a__x000a_Reminder: Members of the National Scout Rifle Squad may enter the  ISSF Target Sprint Class B only if also competing in Class A._x000a_" sqref="W17:W43">
      <formula1>$AA$30:$AA$48</formula1>
    </dataValidation>
    <dataValidation type="list" operator="lessThanOrEqual" allowBlank="1" showInputMessage="1" showErrorMessage="1" errorTitle="Invalid Entry" error="Limit is 20 Characters" promptTitle="ISSF Target Sprint Class A" prompt="Enter Y if entering ISSF Target Sprint Class A with a provided rifle or an Own Rifle that is NOT being shared._x000a__x000a_Enter YnShare if using an &quot;Own Rifle&quot; shared with other people. _x000a__x000a_Otherwise leave blank" sqref="V17:V43">
      <formula1>$AA$30:$AA$48</formula1>
    </dataValidation>
    <dataValidation type="list" allowBlank="1" showInputMessage="1" showErrorMessage="1" errorTitle="Invalid Entry" error="Select from dropdown box or leave blank" promptTitle="Entering 10m Three-Position?" prompt="Select Class (Open or Sporter) from Dropdown box._x000a__x000a_Use the next column to indicate if rifle is to be shared._x000a_" sqref="S17:S43">
      <formula1>$AA$49:$AA$50</formula1>
    </dataValidation>
    <dataValidation type="list" allowBlank="1" showInputMessage="1" showErrorMessage="1" errorTitle="Invalid data" error="Enter Class (A or B) or leave blank" promptTitle="Entering Fullbore?" prompt="Minimum Age 14_x000a_Enter Class (A or B) if entering or leave blank._x000a__x000a_Reminder: Over 25s enter Class B on an &quot;Honours Only&quot; basis." sqref="X17:X43">
      <formula1>$AA$51:$AA$52</formula1>
    </dataValidation>
    <dataValidation type="list" allowBlank="1" showInputMessage="1" showErrorMessage="1" errorTitle="Invalid Entry" error="Select from dropdown box or leave blank" promptTitle="Entering 3-P Sporter?" prompt="Select from Dropdown box._x000a__x000a_Select Y if class is entered and gun is NOT being shared._x000a__x000a_Select YnShare to identify the gun to be used if shared._x000a__x000a_Refer to Rules 22 &amp; 25 about sharing guns and labelling." sqref="T44">
      <formula1>$AB$30:$AB$48</formula1>
    </dataValidation>
    <dataValidation type="list" allowBlank="1" showInputMessage="1" showErrorMessage="1" errorTitle="Invalid Entry" error="Select from dropdown box or leave blank" promptTitle="Entering 6yd Spring Gun?" prompt="Select from Dropdown box._x000a__x000a_Select Y if class is entered and gun is NOT being shared._x000a__x000a_Select YnShare to identify the gun to be used if shared._x000a__x000a_Refer to Rules 22 &amp; 25 about sharing guns and labelling." sqref="M44">
      <formula1>$AB$30:$AB$48</formula1>
    </dataValidation>
    <dataValidation type="list" allowBlank="1" showInputMessage="1" showErrorMessage="1" errorTitle="Invalid Entry" error="Select from dropdown box or leave blank" promptTitle="Entering Own Pistol?" prompt="Select from Dropdown box._x000a__x000a_Select Y if class is entered and gun is NOT being shared._x000a__x000a_Select YnShare to identify the gun to be used if shared._x000a__x000a_Refer to Rules 22 &amp; 25 about sharing guns and labelling." sqref="N44">
      <formula1>$AB$30:$AB$48</formula1>
    </dataValidation>
    <dataValidation type="list" allowBlank="1" showInputMessage="1" showErrorMessage="1" errorTitle="Invalid Entry" error="Select from dropdown box or leave blank" promptTitle="Entering Vintage Rifle?" prompt="Select from Dropdown box._x000a__x000a_Select Y if class is entered and gun is NOT being shared._x000a__x000a_Select YnShare to identify the gun to be used if shared._x000a__x000a_Refer to Rules 22 &amp; 25 about sharing guns and labelling." sqref="O44">
      <formula1>$AB$30:$AB$48</formula1>
    </dataValidation>
    <dataValidation type="list" allowBlank="1" showInputMessage="1" showErrorMessage="1" errorTitle="Invalid Entry" error="Select from dropdown box or leave blank" promptTitle="Entering 10m Open?" prompt="Select from Dropdown box._x000a__x000a_Select Y if class is entered and gun is NOT being shared._x000a__x000a_Select YnShare to identify the gun to be used if shared._x000a__x000a_Refer to Rules 22 &amp; 25 about sharing guns and labelling._x000a_" sqref="P44">
      <formula1>$AB$30:$AB$48</formula1>
    </dataValidation>
    <dataValidation type="list" allowBlank="1" showInputMessage="1" showErrorMessage="1" errorTitle="Invalid Entry" error="Select from dropdown box or leave blank" promptTitle="Entering 10m Sporter?" prompt="Select from Dropdown box._x000a__x000a_Select Y if class is entered and gun is NOT being shared._x000a__x000a_Select YnShare to identify the gun to be used if shared._x000a__x000a_Refer to Rules 22 &amp; 25 about sharing guns and labelling._x000a_" sqref="Q44">
      <formula1>$AB$30:$AB$48</formula1>
    </dataValidation>
    <dataValidation type="list" allowBlank="1" showInputMessage="1" showErrorMessage="1" errorTitle="Invalid Entry" error="Select from dropdown box or leave blank" promptTitle="Entering Advanced Field Target?" prompt="Select from Dropdown box._x000a__x000a_Select Y if class is entered and gun is NOT being shared._x000a__x000a_Select YnShare to identify the gun to be used if shared._x000a__x000a_Refer to Rules 22 &amp; 25 about sharing guns and labelling._x000a_" sqref="R44">
      <formula1>$AB$30:$AB$48</formula1>
    </dataValidation>
    <dataValidation type="list" allowBlank="1" showInputMessage="1" showErrorMessage="1" errorTitle="Invalid Entry" error="Select from dropdown box or leave blank" promptTitle="Entering 3-P Open?" prompt="Select from Dropdown box._x000a__x000a_Select Y if class is entered and gun is NOT being shared._x000a__x000a_Select YnShare to identify the gun to be used if shared._x000a__x000a_Refer to Rules 22 &amp; 25 about sharing guns and labelling." sqref="S44">
      <formula1>$AB$30:$AB$48</formula1>
    </dataValidation>
    <dataValidation type="list" allowBlank="1" showInputMessage="1" showErrorMessage="1" errorTitle="Invalid entry" error="Enter Class (A, B or X) or leave blank" promptTitle="Entering Small-bore?" prompt="Minimum Age 12_x000a_Enter Class (A, B or X) if entering or leave blank._x000a__x000a_Reminder: Over 18s enter Class B on an &quot;Honours Only&quot; basis._x000a_" sqref="Y17:Y43">
      <formula1>$AA$51:$AA$53</formula1>
    </dataValidation>
    <dataValidation type="list" allowBlank="1" showInputMessage="1" showErrorMessage="1" errorTitle="Invalid Entry" error="Select from dropdown box or leave blank" promptTitle="Sharing a Rifle for 3-P?" prompt="Select from Dropdown box._x000a__x000a_Select YnShare to identify the gun to be used if shared._x000a_Leave blank if user has sole use of rifle or if 3-P not entered._x000a__x000a_Refer to Rules 21_x000a_ &amp; 25 about sharing guns and labelling." sqref="T17:T43">
      <formula1>$AA$30:$AA$48</formula1>
    </dataValidation>
    <dataValidation type="list" allowBlank="1" showInputMessage="1" showErrorMessage="1" errorTitle="Invalid Entry" error="Select from dropdown box or leave blank" promptTitle="Entering 10m Open?" prompt="Select from Dropdown box._x000a__x000a_Select Y if class is entered and gun is NOT being shared._x000a__x000a_Select YnShare to identify the gun to be used if shared._x000a__x000a_Refer to Rules 21 &amp; 25 about sharing guns and labelling._x000a_" sqref="P17:P43">
      <formula1>$AA$30:$AA$48</formula1>
    </dataValidation>
    <dataValidation type="list" allowBlank="1" showInputMessage="1" showErrorMessage="1" errorTitle="Invalid Entry" error="Select from dropdown box or leave blank" promptTitle="Entering 6yd Spring Gun?" prompt="Select from Dropdown box._x000a__x000a_Select Y if class is entered and gun is NOT being shared._x000a__x000a_Select YnShare to identify the gun to be used if shared._x000a__x000a_Refer to Rules 21 &amp; 25 about sharing guns and labelling." sqref="M17:M43">
      <formula1>$AA$30:$AA$48</formula1>
    </dataValidation>
    <dataValidation type="list" allowBlank="1" showInputMessage="1" showErrorMessage="1" errorTitle="Invalid Entry" error="Select from dropdown box or leave blank" promptTitle="Entering Own Pistol?" prompt="Select from Dropdown box._x000a__x000a_Select Y if class is entered and gun is NOT being shared._x000a__x000a_Select YnShare to identify the gun to be used if shared._x000a__x000a_Refer to Rules 21 &amp; 25 about sharing guns and labelling." sqref="N17:N43">
      <formula1>$AA$30:$AA$48</formula1>
    </dataValidation>
    <dataValidation type="list" allowBlank="1" showInputMessage="1" showErrorMessage="1" errorTitle="Invalid Entry" error="Select from dropdown box or leave blank" promptTitle="Entering Vintage Rifle?" prompt="Select from Dropdown box._x000a__x000a_Select Y if class is entered and gun is NOT being shared._x000a__x000a_Select YnShare to identify the gun to be used if shared._x000a__x000a_Refer to Rules 21 &amp; 25 about sharing guns and labelling." sqref="O17:O43">
      <formula1>$AA$30:$AA$48</formula1>
    </dataValidation>
    <dataValidation type="list" allowBlank="1" showInputMessage="1" showErrorMessage="1" errorTitle="Invalid Entry" error="Select from dropdown box or leave blank" promptTitle="Entering 10m Sporter?" prompt="Select from Dropdown box._x000a__x000a_Select Y if class is entered and gun is NOT being shared._x000a__x000a_Select YnShare to identify the gun to be used if shared._x000a__x000a_Refer to Rules 21 &amp; 25 about sharing guns and labelling._x000a_" sqref="Q17:Q43">
      <formula1>$AA$30:$AA$48</formula1>
    </dataValidation>
    <dataValidation type="list" allowBlank="1" showInputMessage="1" showErrorMessage="1" errorTitle="Invalid Entry" error="Select from dropdown box or leave blank" promptTitle="Entering Advanced Field Target?" prompt="Select from Dropdown box._x000a__x000a_Select Y if class is entered and gun is NOT being shared._x000a__x000a_Select YnShare to identify the gun to be used if shared._x000a__x000a_Refer to Rules 21 &amp; 25 about sharing guns and labelling._x000a_" sqref="R17:R43">
      <formula1>$AA$30:$AA$48</formula1>
    </dataValidation>
    <dataValidation type="list" allowBlank="1" showInputMessage="1" showErrorMessage="1" promptTitle="No Knockout or Main Event?" prompt="Enter X for a Leader or Range Officer NOT entering the Knockout._x000a__x000a_Enter N for a Leader or Range Officer NOT entering ANY Main Event Class._x000a__x000a_Otherwise leave blank." sqref="L17:L43">
      <formula1>$AA$27:$AA$28</formula1>
    </dataValidation>
    <dataValidation type="list" allowBlank="1" showInputMessage="1" showErrorMessage="1" errorTitle="Invalid Team" error="Select from dropdown box" promptTitle="Connaught Team member?" prompt="Select from Drop-down box._x000a_Three entrants per team._x000a_Junior Teams all aged under 14_x000a_A Senior team will comprise 3 members all aged under 25, at least two of whom shall be aged under 18._x000a_" sqref="J17 J21 J25 J29">
      <formula1>$AA$14:$AA$24</formula1>
    </dataValidation>
    <dataValidation type="list" allowBlank="1" showDropDown="1" showInputMessage="1" showErrorMessage="1" errorTitle="Invalid character." error="Mark F for female entrant or leave blank" promptTitle="Mark F for female entrant" prompt="Leave blank for male entrants" sqref="F44 E17:E44">
      <formula1>$AA$10:$AA$11</formula1>
    </dataValidation>
    <dataValidation type="list" allowBlank="1" showInputMessage="1" showErrorMessage="1" errorTitle="Invalid" error="Enter H for Honours Only - otherwise leave blank._x000a_" promptTitle="Honours Only?" prompt="Enter &quot;H&quot; if Honours Only in all classes (e.g. a Occasional Helper who is not a Member or Associate Member of The Scout Association)." sqref="I17:I43">
      <formula1>$AA$8:$AA$9</formula1>
    </dataValidation>
    <dataValidation type="list" allowBlank="1" showDropDown="1" showInputMessage="1" showErrorMessage="1" errorTitle="Invalid character." error="Mark L for Left-handed Pistol shooter_x000a_ or leave blank" promptTitle="Mark L if LH Pistol required" prompt="Leave blank for Right-handed pistol shooters" sqref="F17:F43">
      <formula1>$AA$12:$AA$13</formula1>
    </dataValidation>
  </dataValidations>
  <pageMargins left="0.49" right="0.75" top="0.66" bottom="0.79" header="0.5" footer="0.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243" yWindow="323" count="8">
        <x14:dataValidation type="list" allowBlank="1" showDropDown="1" showInputMessage="1" showErrorMessage="1" errorTitle="Invalid" error="This is not a competitor number from last year's results. Please check http://www.scouts-shoot.org.uk/nsrc/results/2007-16/2016/AllRes16.zip" promptTitle="Competed Last year?" prompt="Enter &quot;Y&quot;, &quot;N&quot; or last year's competitor number if known.">
          <x14:formula1>
            <xm:f>LastYrList!$A:$A</xm:f>
          </x14:formula1>
          <xm:sqref>H18:H20</xm:sqref>
        </x14:dataValidation>
        <x14:dataValidation type="list" allowBlank="1" showDropDown="1" showInputMessage="1" showErrorMessage="1" errorTitle="Invalid" error="This is not a competitor number from last year's results. Please check http://www.scouts-shoot.org.uk/nsrc/results/2007-16/2016/AllRes16.zip" promptTitle="Competed Last year?" prompt="Enter &quot;Y&quot;, &quot;N&quot; or last year's competitor number if known.">
          <x14:formula1>
            <xm:f>LastYrList!$A:$A</xm:f>
          </x14:formula1>
          <xm:sqref>H22:H24</xm:sqref>
        </x14:dataValidation>
        <x14:dataValidation type="list" allowBlank="1" showDropDown="1" showInputMessage="1" showErrorMessage="1" errorTitle="Invalid" error="This is not a competitor number from last year's results. Please check http://www.scouts-shoot.org.uk/nsrc/results/2007-16/2016/AllRes16.zip" promptTitle="Competed Last year?" prompt="Enter &quot;Y&quot;, &quot;N&quot; or last year's competitor number if known.">
          <x14:formula1>
            <xm:f>LastYrList!$A:$A</xm:f>
          </x14:formula1>
          <xm:sqref>H26:H28</xm:sqref>
        </x14:dataValidation>
        <x14:dataValidation type="list" allowBlank="1" showDropDown="1" showInputMessage="1" showErrorMessage="1" errorTitle="Invalid" error="This is not a competitor number from last year's results. Please check http://www.scouts-shoot.org.uk/nsrc/results/2007-16/2016/AllRes16.zip" promptTitle="Competed Last year?" prompt="Enter &quot;Y&quot;, &quot;N&quot; or last year's competitor number if known.">
          <x14:formula1>
            <xm:f>LastYrList!$A:$A</xm:f>
          </x14:formula1>
          <xm:sqref>H30:H43</xm:sqref>
        </x14:dataValidation>
        <x14:dataValidation type="list" allowBlank="1" showDropDown="1" showInputMessage="1" showErrorMessage="1" errorTitle="Invalid" error="This is not a competitor number from last year's results. Please check http://www.scouts-shoot.org.uk/nsrc/results/2017-26/2018/AllRes18.zip" promptTitle="Competed Last year?" prompt="Enter &quot;Y&quot;, &quot;N&quot; or last year's competitor number if known.">
          <x14:formula1>
            <xm:f>LastYrList!$A:$A</xm:f>
          </x14:formula1>
          <xm:sqref>H17</xm:sqref>
        </x14:dataValidation>
        <x14:dataValidation type="list" allowBlank="1" showDropDown="1" showInputMessage="1" showErrorMessage="1" errorTitle="Invalid" error="This is not a competitor number from last year's results. Please check http://www.scouts-shoot.org.uk/nsrc/results/2017-26/2018/AllRes18.zip" promptTitle="Competed Last year?" prompt="Enter &quot;Y&quot;, &quot;N&quot; or last year's competitor number if known.">
          <x14:formula1>
            <xm:f>LastYrList!$A:$A</xm:f>
          </x14:formula1>
          <xm:sqref>H21</xm:sqref>
        </x14:dataValidation>
        <x14:dataValidation type="list" allowBlank="1" showDropDown="1" showInputMessage="1" showErrorMessage="1" errorTitle="Invalid" error="This is not a competitor number from last year's results. Please check http://www.scouts-shoot.org.uk/nsrc/results/2017-26/2018/AllRes18.zip" promptTitle="Competed Last year?" prompt="Enter &quot;Y&quot;, &quot;N&quot; or last year's competitor number if known.">
          <x14:formula1>
            <xm:f>LastYrList!$A:$A</xm:f>
          </x14:formula1>
          <xm:sqref>H25</xm:sqref>
        </x14:dataValidation>
        <x14:dataValidation type="list" allowBlank="1" showDropDown="1" showInputMessage="1" showErrorMessage="1" errorTitle="Invalid" error="This is not a competitor number from last year's results. Please check http://www.scouts-shoot.org.uk/nsrc/results/2017-26/2018/AllRes18.zip" promptTitle="Competed Last year?" prompt="Enter &quot;Y&quot;, &quot;N&quot; or last year's competitor number if known.">
          <x14:formula1>
            <xm:f>LastYrList!$A:$A</xm:f>
          </x14:formula1>
          <xm:sqref>H29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53"/>
  <sheetViews>
    <sheetView topLeftCell="D1" zoomScale="65" zoomScaleNormal="65" workbookViewId="0">
      <selection activeCell="T44" sqref="T44"/>
    </sheetView>
  </sheetViews>
  <sheetFormatPr defaultRowHeight="12.75" x14ac:dyDescent="0.2"/>
  <cols>
    <col min="1" max="1" width="10.140625" style="1" hidden="1" customWidth="1"/>
    <col min="2" max="2" width="10.140625" style="32" hidden="1" customWidth="1"/>
    <col min="3" max="3" width="10.140625" style="1" hidden="1" customWidth="1"/>
    <col min="4" max="4" width="2.28515625" style="1" customWidth="1"/>
    <col min="6" max="6" width="14.140625" customWidth="1"/>
    <col min="7" max="7" width="10.5703125" customWidth="1"/>
    <col min="8" max="9" width="7" style="1" customWidth="1"/>
    <col min="10" max="10" width="12.42578125" customWidth="1"/>
    <col min="11" max="11" width="12.28515625" customWidth="1"/>
    <col min="12" max="12" width="10.7109375" customWidth="1"/>
    <col min="14" max="14" width="10.42578125" customWidth="1"/>
    <col min="16" max="16" width="10" customWidth="1"/>
    <col min="17" max="17" width="8.42578125" customWidth="1"/>
    <col min="18" max="18" width="9.140625" customWidth="1"/>
    <col min="19" max="19" width="7.5703125" customWidth="1"/>
    <col min="20" max="20" width="8.42578125" customWidth="1"/>
    <col min="22" max="22" width="8.28515625" customWidth="1"/>
    <col min="23" max="23" width="9.140625" customWidth="1"/>
    <col min="25" max="25" width="7.42578125" customWidth="1"/>
    <col min="26" max="27" width="7.85546875" customWidth="1"/>
    <col min="28" max="28" width="7.5703125" customWidth="1"/>
    <col min="29" max="29" width="6.7109375" customWidth="1"/>
    <col min="30" max="30" width="7.140625" customWidth="1"/>
    <col min="31" max="31" width="6.7109375" customWidth="1"/>
    <col min="33" max="33" width="14" style="276" customWidth="1"/>
    <col min="34" max="34" width="15.140625" customWidth="1"/>
  </cols>
  <sheetData>
    <row r="1" spans="1:33" ht="13.5" thickBot="1" x14ac:dyDescent="0.25"/>
    <row r="2" spans="1:33" ht="13.5" thickBot="1" x14ac:dyDescent="0.25">
      <c r="E2" s="543" t="s">
        <v>0</v>
      </c>
      <c r="F2" s="544"/>
      <c r="G2" s="544"/>
      <c r="H2" s="544"/>
      <c r="I2" s="464"/>
      <c r="J2" s="545" t="str">
        <f>CONCATENATE(Entrants!I10,", ",Entrants!O10,", ",Entrants!V10)</f>
        <v xml:space="preserve">, , </v>
      </c>
      <c r="K2" s="544"/>
      <c r="L2" s="544"/>
      <c r="M2" s="544"/>
      <c r="N2" s="544"/>
      <c r="O2" s="544"/>
      <c r="P2" s="544"/>
      <c r="Q2" s="544"/>
      <c r="R2" s="544"/>
      <c r="S2" s="544"/>
      <c r="T2" s="544"/>
      <c r="U2" s="544"/>
      <c r="V2" s="544"/>
      <c r="W2" s="544"/>
      <c r="X2" s="544"/>
      <c r="Y2" s="544"/>
      <c r="Z2" s="544"/>
      <c r="AA2" s="544"/>
      <c r="AB2" s="544"/>
      <c r="AC2" s="544"/>
      <c r="AD2" s="544"/>
      <c r="AE2" s="544"/>
      <c r="AF2" s="546"/>
      <c r="AG2" s="354"/>
    </row>
    <row r="3" spans="1:33" ht="16.5" x14ac:dyDescent="0.25">
      <c r="E3" s="523"/>
      <c r="F3" s="524"/>
      <c r="G3" s="9"/>
      <c r="H3" s="128"/>
      <c r="I3" s="128"/>
      <c r="J3" s="9"/>
      <c r="K3" s="9"/>
      <c r="L3" s="9"/>
      <c r="M3" s="9"/>
      <c r="N3" s="9"/>
      <c r="O3" s="9"/>
      <c r="P3" s="502" t="s">
        <v>417</v>
      </c>
      <c r="Q3" s="503"/>
      <c r="R3" s="503"/>
      <c r="S3" s="503"/>
      <c r="T3" s="503"/>
      <c r="U3" s="503"/>
      <c r="V3" s="503"/>
      <c r="W3" s="503"/>
      <c r="X3" s="503"/>
      <c r="Y3" s="503"/>
      <c r="Z3" s="503"/>
      <c r="AA3" s="503"/>
      <c r="AB3" s="503"/>
      <c r="AC3" s="503"/>
      <c r="AD3" s="503"/>
      <c r="AE3" s="504"/>
      <c r="AF3" s="322"/>
      <c r="AG3" s="355"/>
    </row>
    <row r="4" spans="1:33" ht="16.5" customHeight="1" x14ac:dyDescent="0.25">
      <c r="E4" s="547"/>
      <c r="F4" s="548"/>
      <c r="G4" s="4"/>
      <c r="H4" s="96"/>
      <c r="I4" s="489"/>
      <c r="J4" s="2"/>
      <c r="K4" s="2"/>
      <c r="L4" s="4"/>
      <c r="M4" s="4"/>
      <c r="N4" s="4"/>
      <c r="O4" s="7"/>
      <c r="P4" s="512" t="s">
        <v>8</v>
      </c>
      <c r="Q4" s="513"/>
      <c r="R4" s="513"/>
      <c r="S4" s="513"/>
      <c r="T4" s="513"/>
      <c r="U4" s="513"/>
      <c r="V4" s="513"/>
      <c r="W4" s="513"/>
      <c r="X4" s="514"/>
      <c r="Y4" s="512" t="s">
        <v>9</v>
      </c>
      <c r="Z4" s="513"/>
      <c r="AA4" s="513"/>
      <c r="AB4" s="513"/>
      <c r="AC4" s="513"/>
      <c r="AD4" s="513"/>
      <c r="AE4" s="434"/>
      <c r="AF4" s="322"/>
      <c r="AG4" s="355"/>
    </row>
    <row r="5" spans="1:33" ht="15" x14ac:dyDescent="0.25">
      <c r="E5" s="533" t="s">
        <v>1</v>
      </c>
      <c r="F5" s="534"/>
      <c r="G5" s="4"/>
      <c r="H5" s="96"/>
      <c r="I5" s="489"/>
      <c r="J5" s="2"/>
      <c r="K5" s="2"/>
      <c r="L5" s="4"/>
      <c r="M5" s="4"/>
      <c r="N5" s="4"/>
      <c r="O5" s="7"/>
      <c r="P5" s="8"/>
      <c r="Q5" s="9"/>
      <c r="R5" s="9"/>
      <c r="S5" s="511" t="s">
        <v>13</v>
      </c>
      <c r="T5" s="510"/>
      <c r="U5" s="6"/>
      <c r="V5" s="511" t="s">
        <v>16</v>
      </c>
      <c r="W5" s="509"/>
      <c r="X5" s="510"/>
      <c r="Y5" s="511" t="s">
        <v>326</v>
      </c>
      <c r="Z5" s="510"/>
      <c r="AA5" s="511" t="s">
        <v>18</v>
      </c>
      <c r="AB5" s="510"/>
      <c r="AC5" s="511" t="s">
        <v>20</v>
      </c>
      <c r="AD5" s="539"/>
      <c r="AE5" s="540"/>
      <c r="AF5" s="322"/>
      <c r="AG5" s="355"/>
    </row>
    <row r="6" spans="1:33" ht="33.75" customHeight="1" thickBot="1" x14ac:dyDescent="0.3">
      <c r="E6" s="521" t="s">
        <v>317</v>
      </c>
      <c r="F6" s="522"/>
      <c r="G6" s="4"/>
      <c r="H6" s="97"/>
      <c r="I6" s="490"/>
      <c r="J6" s="2"/>
      <c r="K6" s="2"/>
      <c r="L6" s="4"/>
      <c r="M6" s="4"/>
      <c r="N6" s="4"/>
      <c r="O6" s="7"/>
      <c r="P6" s="5"/>
      <c r="Q6" s="5"/>
      <c r="R6" s="5"/>
      <c r="S6" s="511" t="s">
        <v>14</v>
      </c>
      <c r="T6" s="510"/>
      <c r="U6" s="6"/>
      <c r="V6" s="511" t="s">
        <v>17</v>
      </c>
      <c r="W6" s="509"/>
      <c r="X6" s="510"/>
      <c r="Y6" s="511"/>
      <c r="Z6" s="510"/>
      <c r="AA6" s="511" t="s">
        <v>19</v>
      </c>
      <c r="AB6" s="510"/>
      <c r="AC6" s="511" t="s">
        <v>19</v>
      </c>
      <c r="AD6" s="509"/>
      <c r="AE6" s="510"/>
      <c r="AF6" s="322"/>
      <c r="AG6" s="356"/>
    </row>
    <row r="7" spans="1:33" ht="122.25" customHeight="1" x14ac:dyDescent="0.25">
      <c r="E7" s="11" t="s">
        <v>21</v>
      </c>
      <c r="F7" s="12" t="s">
        <v>22</v>
      </c>
      <c r="G7" s="12" t="s">
        <v>2</v>
      </c>
      <c r="H7" s="373" t="s">
        <v>3</v>
      </c>
      <c r="I7" s="373" t="s">
        <v>413</v>
      </c>
      <c r="J7" s="12" t="s">
        <v>31</v>
      </c>
      <c r="K7" s="12" t="s">
        <v>32</v>
      </c>
      <c r="L7" s="12" t="s">
        <v>4</v>
      </c>
      <c r="M7" s="12" t="s">
        <v>5</v>
      </c>
      <c r="N7" s="12" t="s">
        <v>6</v>
      </c>
      <c r="O7" s="13" t="s">
        <v>7</v>
      </c>
      <c r="P7" s="10" t="s">
        <v>10</v>
      </c>
      <c r="Q7" s="10" t="s">
        <v>11</v>
      </c>
      <c r="R7" s="10" t="s">
        <v>12</v>
      </c>
      <c r="S7" s="10" t="s">
        <v>23</v>
      </c>
      <c r="T7" s="10" t="s">
        <v>24</v>
      </c>
      <c r="U7" s="10" t="s">
        <v>15</v>
      </c>
      <c r="V7" s="14" t="s">
        <v>23</v>
      </c>
      <c r="W7" s="15" t="s">
        <v>24</v>
      </c>
      <c r="X7" s="162" t="s">
        <v>320</v>
      </c>
      <c r="Y7" s="379" t="s">
        <v>368</v>
      </c>
      <c r="Z7" s="433" t="s">
        <v>369</v>
      </c>
      <c r="AA7" s="14" t="s">
        <v>25</v>
      </c>
      <c r="AB7" s="16" t="s">
        <v>29</v>
      </c>
      <c r="AC7" s="14" t="s">
        <v>26</v>
      </c>
      <c r="AD7" s="15" t="s">
        <v>27</v>
      </c>
      <c r="AE7" s="16" t="s">
        <v>28</v>
      </c>
      <c r="AF7" s="321" t="s">
        <v>261</v>
      </c>
      <c r="AG7" s="305" t="s">
        <v>260</v>
      </c>
    </row>
    <row r="8" spans="1:33" ht="14.25" thickBot="1" x14ac:dyDescent="0.3">
      <c r="E8" s="18"/>
      <c r="F8" s="19"/>
      <c r="G8" s="19"/>
      <c r="H8" s="19"/>
      <c r="I8" s="19"/>
      <c r="J8" s="19"/>
      <c r="K8" s="19"/>
      <c r="L8" s="19"/>
      <c r="M8" s="19"/>
      <c r="N8" s="19"/>
      <c r="O8" s="20"/>
      <c r="P8" s="264">
        <v>4</v>
      </c>
      <c r="Q8" s="265">
        <v>4</v>
      </c>
      <c r="R8" s="265">
        <v>4</v>
      </c>
      <c r="S8" s="265">
        <v>6.5</v>
      </c>
      <c r="T8" s="265">
        <v>6.5</v>
      </c>
      <c r="U8" s="265">
        <v>4</v>
      </c>
      <c r="V8" s="536">
        <v>10</v>
      </c>
      <c r="W8" s="537"/>
      <c r="X8" s="538"/>
      <c r="Y8" s="541">
        <v>4</v>
      </c>
      <c r="Z8" s="542"/>
      <c r="AA8" s="536">
        <v>16.5</v>
      </c>
      <c r="AB8" s="538"/>
      <c r="AC8" s="265">
        <v>9.5</v>
      </c>
      <c r="AD8" s="265">
        <v>8</v>
      </c>
      <c r="AE8" s="265">
        <v>9.5</v>
      </c>
      <c r="AF8" s="322"/>
      <c r="AG8" s="37"/>
    </row>
    <row r="9" spans="1:33" ht="13.5" x14ac:dyDescent="0.25">
      <c r="A9" s="191" t="str">
        <f t="shared" ref="A9:A35" si="0">IF(AG9&gt;0,AG9,"")</f>
        <v/>
      </c>
      <c r="B9" s="232">
        <f t="shared" ref="B9:B35" si="1">IF(AND(COUNTBLANK(M9)=1,O9="N"),1,0)</f>
        <v>0</v>
      </c>
      <c r="C9" s="191">
        <f>B9*$L$37</f>
        <v>0</v>
      </c>
      <c r="D9" s="191"/>
      <c r="E9" s="234" t="str">
        <f>IF(Major_Errors&gt;0,"",IF(COUNTBLANK(Entrants!B17)=0,'Entrant Data'!E4,""))</f>
        <v/>
      </c>
      <c r="F9" s="235" t="str">
        <f>IF(Major_Errors&gt;0,"",IF(COUNTBLANK(Entrants!C17)=0,'Entrant Data'!F4,""))</f>
        <v/>
      </c>
      <c r="G9" s="271" t="str">
        <f>IF(Major_Errors&gt;0,"",IF(COUNTBLANK(Entrants!D17)=0,Entrants!D17,""))</f>
        <v/>
      </c>
      <c r="H9" s="236" t="str">
        <f>IF(Major_Errors&gt;0,"",IF(COUNTBLANK(Entrants!E17)=0,Entrants!E17,""))</f>
        <v/>
      </c>
      <c r="I9" s="236" t="str">
        <f>IF(Major_Errors&gt;0,"",IF(COUNTBLANK(Entrants!F17)=0,Entrants!F17,""))</f>
        <v/>
      </c>
      <c r="J9" s="236" t="str">
        <f>IF(Major_Errors&gt;0,"",IF(COUNTBLANK(Entrants!G17)=0,Entrants!G17,""))</f>
        <v/>
      </c>
      <c r="K9" s="236" t="str">
        <f>IF(Major_Errors&gt;0,"",IF(Entrants!H17="y","Y",IF(Entrants!H17="n","N",IF(COUNTBLANK(Entrants!H17)=0,Entrants!H17,""))))</f>
        <v/>
      </c>
      <c r="L9" s="236" t="str">
        <f>IF(Major_Errors&gt;0,"",IF(COUNTBLANK(Entrants!J17)=0,Entrants!E58,""))</f>
        <v/>
      </c>
      <c r="M9" s="236" t="str">
        <f>IF(Major_Errors&gt;0,"",IF(COUNTBLANK(Entrants!K17)=0,"R",""))</f>
        <v/>
      </c>
      <c r="N9" s="236" t="str">
        <f>IF(Major_Errors&gt;0,"",IF(COUNTBLANK(E9)=1,"",IF(Entrants!L17="x","X","")))</f>
        <v/>
      </c>
      <c r="O9" s="236" t="str">
        <f>IF(Major_Errors&gt;0,"",IF(COUNTBLANK(E9)=1,"",IF(Entrants!L17="n","N","")))</f>
        <v/>
      </c>
      <c r="P9" s="237" t="str">
        <f>IF(Major_Errors&gt;0,"",IF(COUNTBLANK(Entrants!M17)=0,P$8,""))</f>
        <v/>
      </c>
      <c r="Q9" s="237" t="str">
        <f>IF(Major_Errors&gt;0,"",IF(COUNTBLANK(Entrants!N17)=0,Q$8,""))</f>
        <v/>
      </c>
      <c r="R9" s="237" t="str">
        <f>IF(Major_Errors&gt;0,"",IF(COUNTBLANK(Entrants!O17)=0,R$8,""))</f>
        <v/>
      </c>
      <c r="S9" s="237" t="str">
        <f>IF(Major_Errors&gt;0,"",IF(COUNTBLANK(Entrants!P17)=0,S$8,""))</f>
        <v/>
      </c>
      <c r="T9" s="237" t="str">
        <f>IF(Major_Errors&gt;0,"",IF(COUNTBLANK(Entrants!Q17)=0,T$8,""))</f>
        <v/>
      </c>
      <c r="U9" s="237" t="str">
        <f>IF(Major_Errors&gt;0,"",IF(COUNTBLANK(Entrants!R17)=0,U$8,""))</f>
        <v/>
      </c>
      <c r="V9" s="237" t="str">
        <f>IF(Major_Errors&gt;0,"",IF(Entrants!S17="Open",V$8,""))</f>
        <v/>
      </c>
      <c r="W9" s="237" t="str">
        <f>IF(Major_Errors&gt;0,"",IF(Entrants!S17="Sporter",V$8,""))</f>
        <v/>
      </c>
      <c r="X9" s="235" t="str">
        <f>IF(Major_Errors&gt;0,"",IF(COUNTBLANK(Entrants!U17)=0,Entrants!U17,""))</f>
        <v/>
      </c>
      <c r="Y9" s="237" t="str">
        <f>IF(Major_Errors&gt;0,"",IF(COUNTBLANK(Entrants!V17)=0,Y$8,""))</f>
        <v/>
      </c>
      <c r="Z9" s="237" t="str">
        <f>IF(Major_Errors&gt;0,"",IF(COUNTBLANK(Entrants!W17)=0,Y$8,""))</f>
        <v/>
      </c>
      <c r="AA9" s="237" t="str">
        <f>IF(Major_Errors&gt;0,"",IF(OR(Entrants!X17="a",Entrants!X17="A"),AA$8,""))</f>
        <v/>
      </c>
      <c r="AB9" s="237" t="str">
        <f>IF(Major_Errors&gt;0,"",IF(OR(Entrants!X17="b",Entrants!X17="B"),AA$8,""))</f>
        <v/>
      </c>
      <c r="AC9" s="237" t="str">
        <f>IF(Major_Errors&gt;0,"",IF(Entrants!$Y17="A",AC$8,""))</f>
        <v/>
      </c>
      <c r="AD9" s="237" t="str">
        <f>IF(Major_Errors&gt;0,"",IF(Entrants!$Y17="B",AD$8,""))</f>
        <v/>
      </c>
      <c r="AE9" s="238" t="str">
        <f>IF(Major_Errors&gt;0,"",IF(Entrants!$Y17="X",AE$8,""))</f>
        <v/>
      </c>
      <c r="AF9" s="322">
        <f>IF(COUNTBLANK(E9)=0,IF(M9="R",L$36,IF(O9="N",L$37,L$38)),0)</f>
        <v>0</v>
      </c>
      <c r="AG9" s="324">
        <f>AF9+SUM(P9:AE9)</f>
        <v>0</v>
      </c>
    </row>
    <row r="10" spans="1:33" ht="13.5" x14ac:dyDescent="0.25">
      <c r="A10" s="191" t="str">
        <f t="shared" si="0"/>
        <v/>
      </c>
      <c r="B10" s="232">
        <f t="shared" si="1"/>
        <v>0</v>
      </c>
      <c r="C10" s="191">
        <f t="shared" ref="C10:C35" si="2">B10*$L$37</f>
        <v>0</v>
      </c>
      <c r="D10" s="191"/>
      <c r="E10" s="239" t="str">
        <f>IF(Major_Errors&gt;0,"",IF(COUNTBLANK(Entrants!B18)=0,'Entrant Data'!E5,""))</f>
        <v/>
      </c>
      <c r="F10" s="21" t="str">
        <f>IF(Major_Errors&gt;0,"",IF(COUNTBLANK(Entrants!C18)=0,'Entrant Data'!F5,""))</f>
        <v/>
      </c>
      <c r="G10" s="272" t="str">
        <f>IF(Major_Errors&gt;0,"",IF(COUNTBLANK(Entrants!D18)=0,Entrants!D18,""))</f>
        <v/>
      </c>
      <c r="H10" s="23" t="str">
        <f>IF(Major_Errors&gt;0,"",IF(COUNTBLANK(Entrants!E18)=0,Entrants!E18,""))</f>
        <v/>
      </c>
      <c r="I10" s="23"/>
      <c r="J10" s="23" t="str">
        <f>IF(Major_Errors&gt;0,"",IF(COUNTBLANK(Entrants!G18)=0,Entrants!G18,""))</f>
        <v/>
      </c>
      <c r="K10" s="23" t="str">
        <f>IF(Major_Errors&gt;0,"",IF(Entrants!H18="y","Y",IF(Entrants!H18="n","N",IF(COUNTBLANK(Entrants!H18)=0,Entrants!H18,""))))</f>
        <v/>
      </c>
      <c r="L10" s="23" t="str">
        <f>IF(Major_Errors&gt;0,"",IF(COUNTBLANK(Entrants!J18)=0,Entrants!E59,""))</f>
        <v/>
      </c>
      <c r="M10" s="23" t="str">
        <f>IF(Major_Errors&gt;0,"",IF(COUNTBLANK(Entrants!K18)=0,"R",""))</f>
        <v/>
      </c>
      <c r="N10" s="23" t="str">
        <f>IF(Major_Errors&gt;0,"",IF(COUNTBLANK(E10)=1,"",IF(Entrants!L18="x","X","")))</f>
        <v/>
      </c>
      <c r="O10" s="23" t="str">
        <f>IF(Major_Errors&gt;0,"",IF(COUNTBLANK(E10)=1,"",IF(Entrants!L18="n","N","")))</f>
        <v/>
      </c>
      <c r="P10" s="29" t="str">
        <f>IF(Major_Errors&gt;0,"",IF(COUNTBLANK(Entrants!M18)=0,P$8,""))</f>
        <v/>
      </c>
      <c r="Q10" s="29" t="str">
        <f>IF(Major_Errors&gt;0,"",IF(COUNTBLANK(Entrants!N18)=0,Q$8,""))</f>
        <v/>
      </c>
      <c r="R10" s="29" t="str">
        <f>IF(Major_Errors&gt;0,"",IF(COUNTBLANK(Entrants!O18)=0,R$8,""))</f>
        <v/>
      </c>
      <c r="S10" s="29" t="str">
        <f>IF(Major_Errors&gt;0,"",IF(COUNTBLANK(Entrants!P18)=0,S$8,""))</f>
        <v/>
      </c>
      <c r="T10" s="29" t="str">
        <f>IF(Major_Errors&gt;0,"",IF(COUNTBLANK(Entrants!Q18)=0,T$8,""))</f>
        <v/>
      </c>
      <c r="U10" s="29" t="str">
        <f>IF(Major_Errors&gt;0,"",IF(COUNTBLANK(Entrants!R18)=0,U$8,""))</f>
        <v/>
      </c>
      <c r="V10" s="29" t="str">
        <f>IF(Major_Errors&gt;0,"",IF(Entrants!S18="Open",V$8,""))</f>
        <v/>
      </c>
      <c r="W10" s="29" t="str">
        <f>IF(Major_Errors&gt;0,"",IF(Entrants!S18="Sporter",V$8,""))</f>
        <v/>
      </c>
      <c r="X10" s="21" t="str">
        <f>IF(Major_Errors&gt;0,"",IF(COUNTBLANK(Entrants!U18)=0,Entrants!U18,""))</f>
        <v/>
      </c>
      <c r="Y10" s="29" t="str">
        <f>IF(Major_Errors&gt;0,"",IF(COUNTBLANK(Entrants!V18)=0,Y$8,""))</f>
        <v/>
      </c>
      <c r="Z10" s="29" t="str">
        <f>IF(Major_Errors&gt;0,"",IF(COUNTBLANK(Entrants!W18)=0,Y$8,""))</f>
        <v/>
      </c>
      <c r="AA10" s="29" t="str">
        <f>IF(Major_Errors&gt;0,"",IF(OR(Entrants!X18="a",Entrants!X18="A"),AA$8,""))</f>
        <v/>
      </c>
      <c r="AB10" s="29" t="str">
        <f>IF(Major_Errors&gt;0,"",IF(OR(Entrants!X18="b",Entrants!X18="B"),AA$8,""))</f>
        <v/>
      </c>
      <c r="AC10" s="29" t="str">
        <f>IF(Major_Errors&gt;0,"",IF(Entrants!$Y18="A",AC$8,""))</f>
        <v/>
      </c>
      <c r="AD10" s="29" t="str">
        <f>IF(Major_Errors&gt;0,"",IF(Entrants!$Y18="B",AD$8,""))</f>
        <v/>
      </c>
      <c r="AE10" s="240" t="str">
        <f>IF(Major_Errors&gt;0,"",IF(Entrants!$Y18="X",AE$8,""))</f>
        <v/>
      </c>
      <c r="AF10" s="322">
        <f t="shared" ref="AF10:AF35" si="3">IF(COUNTBLANK(E10)=0,IF(M10="R",L$36,IF(O10="N",L$37,L$38)),0)</f>
        <v>0</v>
      </c>
      <c r="AG10" s="324">
        <f t="shared" ref="AG10:AG35" si="4">AF10+SUM(P10:AE10)</f>
        <v>0</v>
      </c>
    </row>
    <row r="11" spans="1:33" ht="13.5" x14ac:dyDescent="0.25">
      <c r="A11" s="191" t="str">
        <f t="shared" si="0"/>
        <v/>
      </c>
      <c r="B11" s="232">
        <f t="shared" si="1"/>
        <v>0</v>
      </c>
      <c r="C11" s="191">
        <f t="shared" si="2"/>
        <v>0</v>
      </c>
      <c r="D11" s="191"/>
      <c r="E11" s="239" t="str">
        <f>IF(Major_Errors&gt;0,"",IF(COUNTBLANK(Entrants!B19)=0,'Entrant Data'!E6,""))</f>
        <v/>
      </c>
      <c r="F11" s="21" t="str">
        <f>IF(Major_Errors&gt;0,"",IF(COUNTBLANK(Entrants!C19)=0,'Entrant Data'!F6,""))</f>
        <v/>
      </c>
      <c r="G11" s="25" t="str">
        <f>IF(Major_Errors&gt;0,"",IF(COUNTBLANK(Entrants!D19)=0,Entrants!D19,""))</f>
        <v/>
      </c>
      <c r="H11" s="23" t="str">
        <f>IF(Major_Errors&gt;0,"",IF(COUNTBLANK(Entrants!E19)=0,Entrants!E19,""))</f>
        <v/>
      </c>
      <c r="I11" s="23"/>
      <c r="J11" s="23" t="str">
        <f>IF(Major_Errors&gt;0,"",IF(COUNTBLANK(Entrants!G19)=0,Entrants!G19,""))</f>
        <v/>
      </c>
      <c r="K11" s="23" t="str">
        <f>IF(Major_Errors&gt;0,"",IF(Entrants!H19="y","Y",IF(Entrants!H19="n","N",IF(COUNTBLANK(Entrants!H19)=0,Entrants!H19,""))))</f>
        <v/>
      </c>
      <c r="L11" s="23" t="str">
        <f>IF(Major_Errors&gt;0,"",IF(COUNTBLANK(Entrants!J19)=0,Entrants!E60,""))</f>
        <v/>
      </c>
      <c r="M11" s="23" t="str">
        <f>IF(Major_Errors&gt;0,"",IF(COUNTBLANK(Entrants!K19)=0,"R",""))</f>
        <v/>
      </c>
      <c r="N11" s="23" t="str">
        <f>IF(Major_Errors&gt;0,"",IF(COUNTBLANK(E11)=1,"",IF(Entrants!L19="x","X","")))</f>
        <v/>
      </c>
      <c r="O11" s="23" t="str">
        <f>IF(Major_Errors&gt;0,"",IF(COUNTBLANK(E11)=1,"",IF(Entrants!L19="n","N","")))</f>
        <v/>
      </c>
      <c r="P11" s="29" t="str">
        <f>IF(Major_Errors&gt;0,"",IF(COUNTBLANK(Entrants!M19)=0,P$8,""))</f>
        <v/>
      </c>
      <c r="Q11" s="29" t="str">
        <f>IF(Major_Errors&gt;0,"",IF(COUNTBLANK(Entrants!N19)=0,Q$8,""))</f>
        <v/>
      </c>
      <c r="R11" s="29" t="str">
        <f>IF(Major_Errors&gt;0,"",IF(COUNTBLANK(Entrants!O19)=0,R$8,""))</f>
        <v/>
      </c>
      <c r="S11" s="29" t="str">
        <f>IF(Major_Errors&gt;0,"",IF(COUNTBLANK(Entrants!P19)=0,S$8,""))</f>
        <v/>
      </c>
      <c r="T11" s="29" t="str">
        <f>IF(Major_Errors&gt;0,"",IF(COUNTBLANK(Entrants!Q19)=0,T$8,""))</f>
        <v/>
      </c>
      <c r="U11" s="29" t="str">
        <f>IF(Major_Errors&gt;0,"",IF(COUNTBLANK(Entrants!R19)=0,U$8,""))</f>
        <v/>
      </c>
      <c r="V11" s="29" t="str">
        <f>IF(Major_Errors&gt;0,"",IF(Entrants!S19="Open",V$8,""))</f>
        <v/>
      </c>
      <c r="W11" s="29" t="str">
        <f>IF(Major_Errors&gt;0,"",IF(Entrants!S19="Sporter",V$8,""))</f>
        <v/>
      </c>
      <c r="X11" s="21" t="str">
        <f>IF(Major_Errors&gt;0,"",IF(COUNTBLANK(Entrants!U19)=0,Entrants!U19,""))</f>
        <v/>
      </c>
      <c r="Y11" s="29" t="str">
        <f>IF(Major_Errors&gt;0,"",IF(COUNTBLANK(Entrants!V19)=0,Y$8,""))</f>
        <v/>
      </c>
      <c r="Z11" s="29" t="str">
        <f>IF(Major_Errors&gt;0,"",IF(COUNTBLANK(Entrants!W19)=0,Y$8,""))</f>
        <v/>
      </c>
      <c r="AA11" s="29" t="str">
        <f>IF(Major_Errors&gt;0,"",IF(OR(Entrants!X19="a",Entrants!X19="A"),AA$8,""))</f>
        <v/>
      </c>
      <c r="AB11" s="29" t="str">
        <f>IF(Major_Errors&gt;0,"",IF(OR(Entrants!X19="b",Entrants!X19="B"),AA$8,""))</f>
        <v/>
      </c>
      <c r="AC11" s="29" t="str">
        <f>IF(Major_Errors&gt;0,"",IF(Entrants!$Y19="A",AC$8,""))</f>
        <v/>
      </c>
      <c r="AD11" s="29" t="str">
        <f>IF(Major_Errors&gt;0,"",IF(Entrants!$Y19="B",AD$8,""))</f>
        <v/>
      </c>
      <c r="AE11" s="240" t="str">
        <f>IF(Major_Errors&gt;0,"",IF(Entrants!$Y19="X",AE$8,""))</f>
        <v/>
      </c>
      <c r="AF11" s="322">
        <f t="shared" si="3"/>
        <v>0</v>
      </c>
      <c r="AG11" s="324">
        <f t="shared" si="4"/>
        <v>0</v>
      </c>
    </row>
    <row r="12" spans="1:33" ht="13.5" x14ac:dyDescent="0.25">
      <c r="A12" s="191" t="str">
        <f t="shared" si="0"/>
        <v/>
      </c>
      <c r="B12" s="232">
        <f t="shared" si="1"/>
        <v>0</v>
      </c>
      <c r="C12" s="191">
        <f t="shared" si="2"/>
        <v>0</v>
      </c>
      <c r="D12" s="191"/>
      <c r="E12" s="239" t="str">
        <f>IF(Major_Errors&gt;0,"",IF(COUNTBLANK(Entrants!B20)=0,'Entrant Data'!E7,""))</f>
        <v/>
      </c>
      <c r="F12" s="21" t="str">
        <f>IF(Major_Errors&gt;0,"",IF(COUNTBLANK(Entrants!C20)=0,'Entrant Data'!F7,""))</f>
        <v/>
      </c>
      <c r="G12" s="25" t="str">
        <f>IF(Major_Errors&gt;0,"",IF(COUNTBLANK(Entrants!D20)=0,Entrants!D20,""))</f>
        <v/>
      </c>
      <c r="H12" s="23" t="str">
        <f>IF(Major_Errors&gt;0,"",IF(COUNTBLANK(Entrants!E20)=0,Entrants!E20,""))</f>
        <v/>
      </c>
      <c r="I12" s="23"/>
      <c r="J12" s="23" t="str">
        <f>IF(Major_Errors&gt;0,"",IF(COUNTBLANK(Entrants!G20)=0,Entrants!G20,""))</f>
        <v/>
      </c>
      <c r="K12" s="23" t="str">
        <f>IF(Major_Errors&gt;0,"",IF(Entrants!H20="y","Y",IF(Entrants!H20="n","N",IF(COUNTBLANK(Entrants!H20)=0,Entrants!H20,""))))</f>
        <v/>
      </c>
      <c r="L12" s="23" t="str">
        <f>IF(Major_Errors&gt;0,"",IF(COUNTBLANK(Entrants!J20)=0,Entrants!E61,""))</f>
        <v/>
      </c>
      <c r="M12" s="23" t="str">
        <f>IF(Major_Errors&gt;0,"",IF(COUNTBLANK(Entrants!K20)=0,"R",""))</f>
        <v/>
      </c>
      <c r="N12" s="23" t="str">
        <f>IF(Major_Errors&gt;0,"",IF(COUNTBLANK(E12)=1,"",IF(Entrants!L20="x","X","")))</f>
        <v/>
      </c>
      <c r="O12" s="23" t="str">
        <f>IF(Major_Errors&gt;0,"",IF(COUNTBLANK(E12)=1,"",IF(Entrants!L20="n","N","")))</f>
        <v/>
      </c>
      <c r="P12" s="29" t="str">
        <f>IF(Major_Errors&gt;0,"",IF(COUNTBLANK(Entrants!M20)=0,P$8,""))</f>
        <v/>
      </c>
      <c r="Q12" s="29" t="str">
        <f>IF(Major_Errors&gt;0,"",IF(COUNTBLANK(Entrants!N20)=0,Q$8,""))</f>
        <v/>
      </c>
      <c r="R12" s="29" t="str">
        <f>IF(Major_Errors&gt;0,"",IF(COUNTBLANK(Entrants!O20)=0,R$8,""))</f>
        <v/>
      </c>
      <c r="S12" s="29" t="str">
        <f>IF(Major_Errors&gt;0,"",IF(COUNTBLANK(Entrants!P20)=0,S$8,""))</f>
        <v/>
      </c>
      <c r="T12" s="29" t="str">
        <f>IF(Major_Errors&gt;0,"",IF(COUNTBLANK(Entrants!Q20)=0,T$8,""))</f>
        <v/>
      </c>
      <c r="U12" s="29" t="str">
        <f>IF(Major_Errors&gt;0,"",IF(COUNTBLANK(Entrants!R20)=0,U$8,""))</f>
        <v/>
      </c>
      <c r="V12" s="29" t="str">
        <f>IF(Major_Errors&gt;0,"",IF(Entrants!S20="Open",V$8,""))</f>
        <v/>
      </c>
      <c r="W12" s="29" t="str">
        <f>IF(Major_Errors&gt;0,"",IF(Entrants!S20="Sporter",V$8,""))</f>
        <v/>
      </c>
      <c r="X12" s="21" t="str">
        <f>IF(Major_Errors&gt;0,"",IF(COUNTBLANK(Entrants!U20)=0,Entrants!U20,""))</f>
        <v/>
      </c>
      <c r="Y12" s="29" t="str">
        <f>IF(Major_Errors&gt;0,"",IF(COUNTBLANK(Entrants!V20)=0,Y$8,""))</f>
        <v/>
      </c>
      <c r="Z12" s="29" t="str">
        <f>IF(Major_Errors&gt;0,"",IF(COUNTBLANK(Entrants!W20)=0,Y$8,""))</f>
        <v/>
      </c>
      <c r="AA12" s="29" t="str">
        <f>IF(Major_Errors&gt;0,"",IF(OR(Entrants!X20="a",Entrants!X20="A"),AA$8,""))</f>
        <v/>
      </c>
      <c r="AB12" s="29" t="str">
        <f>IF(Major_Errors&gt;0,"",IF(OR(Entrants!X20="b",Entrants!X20="B"),AA$8,""))</f>
        <v/>
      </c>
      <c r="AC12" s="29" t="str">
        <f>IF(Major_Errors&gt;0,"",IF(Entrants!$Y20="A",AC$8,""))</f>
        <v/>
      </c>
      <c r="AD12" s="29" t="str">
        <f>IF(Major_Errors&gt;0,"",IF(Entrants!$Y20="B",AD$8,""))</f>
        <v/>
      </c>
      <c r="AE12" s="240" t="str">
        <f>IF(Major_Errors&gt;0,"",IF(Entrants!$Y20="X",AE$8,""))</f>
        <v/>
      </c>
      <c r="AF12" s="322">
        <f t="shared" si="3"/>
        <v>0</v>
      </c>
      <c r="AG12" s="324">
        <f t="shared" si="4"/>
        <v>0</v>
      </c>
    </row>
    <row r="13" spans="1:33" ht="13.5" x14ac:dyDescent="0.25">
      <c r="A13" s="191" t="str">
        <f t="shared" si="0"/>
        <v/>
      </c>
      <c r="B13" s="232">
        <f t="shared" si="1"/>
        <v>0</v>
      </c>
      <c r="C13" s="191">
        <f t="shared" si="2"/>
        <v>0</v>
      </c>
      <c r="D13" s="191"/>
      <c r="E13" s="239" t="str">
        <f>IF(Major_Errors&gt;0,"",IF(COUNTBLANK(Entrants!B21)=0,'Entrant Data'!E8,""))</f>
        <v/>
      </c>
      <c r="F13" s="21" t="str">
        <f>IF(Major_Errors&gt;0,"",IF(COUNTBLANK(Entrants!C21)=0,'Entrant Data'!F8,""))</f>
        <v/>
      </c>
      <c r="G13" s="25" t="str">
        <f>IF(Major_Errors&gt;0,"",IF(COUNTBLANK(Entrants!D21)=0,Entrants!D21,""))</f>
        <v/>
      </c>
      <c r="H13" s="23" t="str">
        <f>IF(Major_Errors&gt;0,"",IF(COUNTBLANK(Entrants!E21)=0,Entrants!E21,""))</f>
        <v/>
      </c>
      <c r="I13" s="23"/>
      <c r="J13" s="23" t="str">
        <f>IF(Major_Errors&gt;0,"",IF(COUNTBLANK(Entrants!G21)=0,Entrants!G21,""))</f>
        <v/>
      </c>
      <c r="K13" s="23" t="str">
        <f>IF(Major_Errors&gt;0,"",IF(Entrants!H21="y","Y",IF(Entrants!H21="n","N",IF(COUNTBLANK(Entrants!H21)=0,Entrants!H21,""))))</f>
        <v/>
      </c>
      <c r="L13" s="23" t="str">
        <f>IF(Major_Errors&gt;0,"",IF(COUNTBLANK(Entrants!J21)=0,Entrants!E62,""))</f>
        <v/>
      </c>
      <c r="M13" s="23" t="str">
        <f>IF(Major_Errors&gt;0,"",IF(COUNTBLANK(Entrants!K21)=0,"R",""))</f>
        <v/>
      </c>
      <c r="N13" s="23" t="str">
        <f>IF(Major_Errors&gt;0,"",IF(COUNTBLANK(E13)=1,"",IF(Entrants!L21="x","X","")))</f>
        <v/>
      </c>
      <c r="O13" s="23" t="str">
        <f>IF(Major_Errors&gt;0,"",IF(COUNTBLANK(E13)=1,"",IF(Entrants!L21="n","N","")))</f>
        <v/>
      </c>
      <c r="P13" s="29" t="str">
        <f>IF(Major_Errors&gt;0,"",IF(COUNTBLANK(Entrants!M21)=0,P$8,""))</f>
        <v/>
      </c>
      <c r="Q13" s="29" t="str">
        <f>IF(Major_Errors&gt;0,"",IF(COUNTBLANK(Entrants!N21)=0,Q$8,""))</f>
        <v/>
      </c>
      <c r="R13" s="29" t="str">
        <f>IF(Major_Errors&gt;0,"",IF(COUNTBLANK(Entrants!O21)=0,R$8,""))</f>
        <v/>
      </c>
      <c r="S13" s="29" t="str">
        <f>IF(Major_Errors&gt;0,"",IF(COUNTBLANK(Entrants!P21)=0,S$8,""))</f>
        <v/>
      </c>
      <c r="T13" s="29" t="str">
        <f>IF(Major_Errors&gt;0,"",IF(COUNTBLANK(Entrants!Q21)=0,T$8,""))</f>
        <v/>
      </c>
      <c r="U13" s="29" t="str">
        <f>IF(Major_Errors&gt;0,"",IF(COUNTBLANK(Entrants!R21)=0,U$8,""))</f>
        <v/>
      </c>
      <c r="V13" s="29" t="str">
        <f>IF(Major_Errors&gt;0,"",IF(Entrants!S21="Open",V$8,""))</f>
        <v/>
      </c>
      <c r="W13" s="29" t="str">
        <f>IF(Major_Errors&gt;0,"",IF(Entrants!S21="Sporter",V$8,""))</f>
        <v/>
      </c>
      <c r="X13" s="21" t="str">
        <f>IF(Major_Errors&gt;0,"",IF(COUNTBLANK(Entrants!U21)=0,Entrants!U21,""))</f>
        <v/>
      </c>
      <c r="Y13" s="29" t="str">
        <f>IF(Major_Errors&gt;0,"",IF(COUNTBLANK(Entrants!V21)=0,Y$8,""))</f>
        <v/>
      </c>
      <c r="Z13" s="29" t="str">
        <f>IF(Major_Errors&gt;0,"",IF(COUNTBLANK(Entrants!W21)=0,Y$8,""))</f>
        <v/>
      </c>
      <c r="AA13" s="29" t="str">
        <f>IF(Major_Errors&gt;0,"",IF(OR(Entrants!X21="a",Entrants!X21="A"),AA$8,""))</f>
        <v/>
      </c>
      <c r="AB13" s="29" t="str">
        <f>IF(Major_Errors&gt;0,"",IF(OR(Entrants!X21="b",Entrants!X21="B"),AA$8,""))</f>
        <v/>
      </c>
      <c r="AC13" s="29" t="str">
        <f>IF(Major_Errors&gt;0,"",IF(Entrants!$Y21="A",AC$8,""))</f>
        <v/>
      </c>
      <c r="AD13" s="29" t="str">
        <f>IF(Major_Errors&gt;0,"",IF(Entrants!$Y21="B",AD$8,""))</f>
        <v/>
      </c>
      <c r="AE13" s="240" t="str">
        <f>IF(Major_Errors&gt;0,"",IF(Entrants!$Y21="X",AE$8,""))</f>
        <v/>
      </c>
      <c r="AF13" s="322">
        <f t="shared" si="3"/>
        <v>0</v>
      </c>
      <c r="AG13" s="324">
        <f t="shared" si="4"/>
        <v>0</v>
      </c>
    </row>
    <row r="14" spans="1:33" ht="13.5" x14ac:dyDescent="0.25">
      <c r="A14" s="191" t="str">
        <f t="shared" si="0"/>
        <v/>
      </c>
      <c r="B14" s="232">
        <f t="shared" si="1"/>
        <v>0</v>
      </c>
      <c r="C14" s="191">
        <f t="shared" si="2"/>
        <v>0</v>
      </c>
      <c r="D14" s="191"/>
      <c r="E14" s="239" t="str">
        <f>IF(Major_Errors&gt;0,"",IF(COUNTBLANK(Entrants!B22)=0,'Entrant Data'!E9,""))</f>
        <v/>
      </c>
      <c r="F14" s="21" t="str">
        <f>IF(Major_Errors&gt;0,"",IF(COUNTBLANK(Entrants!C22)=0,'Entrant Data'!F9,""))</f>
        <v/>
      </c>
      <c r="G14" s="25" t="str">
        <f>IF(Major_Errors&gt;0,"",IF(COUNTBLANK(Entrants!D22)=0,Entrants!D22,""))</f>
        <v/>
      </c>
      <c r="H14" s="23" t="str">
        <f>IF(Major_Errors&gt;0,"",IF(COUNTBLANK(Entrants!E22)=0,Entrants!E22,""))</f>
        <v/>
      </c>
      <c r="I14" s="23"/>
      <c r="J14" s="23" t="str">
        <f>IF(Major_Errors&gt;0,"",IF(COUNTBLANK(Entrants!G22)=0,Entrants!G22,""))</f>
        <v/>
      </c>
      <c r="K14" s="23" t="str">
        <f>IF(Major_Errors&gt;0,"",IF(Entrants!H22="y","Y",IF(Entrants!H22="n","N",IF(COUNTBLANK(Entrants!H22)=0,Entrants!H22,""))))</f>
        <v/>
      </c>
      <c r="L14" s="23" t="str">
        <f>IF(Major_Errors&gt;0,"",IF(COUNTBLANK(Entrants!J22)=0,Entrants!E63,""))</f>
        <v/>
      </c>
      <c r="M14" s="23" t="str">
        <f>IF(Major_Errors&gt;0,"",IF(COUNTBLANK(Entrants!K22)=0,"R",""))</f>
        <v/>
      </c>
      <c r="N14" s="23" t="str">
        <f>IF(Major_Errors&gt;0,"",IF(COUNTBLANK(E14)=1,"",IF(Entrants!L22="x","X","")))</f>
        <v/>
      </c>
      <c r="O14" s="23" t="str">
        <f>IF(Major_Errors&gt;0,"",IF(COUNTBLANK(E14)=1,"",IF(Entrants!L22="n","N","")))</f>
        <v/>
      </c>
      <c r="P14" s="29" t="str">
        <f>IF(Major_Errors&gt;0,"",IF(COUNTBLANK(Entrants!M22)=0,P$8,""))</f>
        <v/>
      </c>
      <c r="Q14" s="29" t="str">
        <f>IF(Major_Errors&gt;0,"",IF(COUNTBLANK(Entrants!N22)=0,Q$8,""))</f>
        <v/>
      </c>
      <c r="R14" s="29" t="str">
        <f>IF(Major_Errors&gt;0,"",IF(COUNTBLANK(Entrants!O22)=0,R$8,""))</f>
        <v/>
      </c>
      <c r="S14" s="29" t="str">
        <f>IF(Major_Errors&gt;0,"",IF(COUNTBLANK(Entrants!P22)=0,S$8,""))</f>
        <v/>
      </c>
      <c r="T14" s="29" t="str">
        <f>IF(Major_Errors&gt;0,"",IF(COUNTBLANK(Entrants!Q22)=0,T$8,""))</f>
        <v/>
      </c>
      <c r="U14" s="29" t="str">
        <f>IF(Major_Errors&gt;0,"",IF(COUNTBLANK(Entrants!R22)=0,U$8,""))</f>
        <v/>
      </c>
      <c r="V14" s="29" t="str">
        <f>IF(Major_Errors&gt;0,"",IF(Entrants!S22="Open",V$8,""))</f>
        <v/>
      </c>
      <c r="W14" s="29" t="str">
        <f>IF(Major_Errors&gt;0,"",IF(Entrants!S22="Sporter",V$8,""))</f>
        <v/>
      </c>
      <c r="X14" s="21" t="str">
        <f>IF(Major_Errors&gt;0,"",IF(COUNTBLANK(Entrants!U22)=0,Entrants!U22,""))</f>
        <v/>
      </c>
      <c r="Y14" s="29" t="str">
        <f>IF(Major_Errors&gt;0,"",IF(COUNTBLANK(Entrants!V22)=0,Y$8,""))</f>
        <v/>
      </c>
      <c r="Z14" s="29" t="str">
        <f>IF(Major_Errors&gt;0,"",IF(COUNTBLANK(Entrants!W22)=0,Y$8,""))</f>
        <v/>
      </c>
      <c r="AA14" s="29" t="str">
        <f>IF(Major_Errors&gt;0,"",IF(OR(Entrants!X22="a",Entrants!X22="A"),AA$8,""))</f>
        <v/>
      </c>
      <c r="AB14" s="29" t="str">
        <f>IF(Major_Errors&gt;0,"",IF(OR(Entrants!X22="b",Entrants!X22="B"),AA$8,""))</f>
        <v/>
      </c>
      <c r="AC14" s="29" t="str">
        <f>IF(Major_Errors&gt;0,"",IF(Entrants!$Y22="A",AC$8,""))</f>
        <v/>
      </c>
      <c r="AD14" s="29" t="str">
        <f>IF(Major_Errors&gt;0,"",IF(Entrants!$Y22="B",AD$8,""))</f>
        <v/>
      </c>
      <c r="AE14" s="240" t="str">
        <f>IF(Major_Errors&gt;0,"",IF(Entrants!$Y22="X",AE$8,""))</f>
        <v/>
      </c>
      <c r="AF14" s="322">
        <f t="shared" si="3"/>
        <v>0</v>
      </c>
      <c r="AG14" s="324">
        <f t="shared" si="4"/>
        <v>0</v>
      </c>
    </row>
    <row r="15" spans="1:33" ht="13.5" x14ac:dyDescent="0.25">
      <c r="A15" s="191" t="str">
        <f t="shared" si="0"/>
        <v/>
      </c>
      <c r="B15" s="232">
        <f t="shared" si="1"/>
        <v>0</v>
      </c>
      <c r="C15" s="191">
        <f t="shared" si="2"/>
        <v>0</v>
      </c>
      <c r="D15" s="191"/>
      <c r="E15" s="239" t="str">
        <f>IF(Major_Errors&gt;0,"",IF(COUNTBLANK(Entrants!B23)=0,'Entrant Data'!E10,""))</f>
        <v/>
      </c>
      <c r="F15" s="21" t="str">
        <f>IF(Major_Errors&gt;0,"",IF(COUNTBLANK(Entrants!C23)=0,'Entrant Data'!F10,""))</f>
        <v/>
      </c>
      <c r="G15" s="25" t="str">
        <f>IF(Major_Errors&gt;0,"",IF(COUNTBLANK(Entrants!D23)=0,Entrants!D23,""))</f>
        <v/>
      </c>
      <c r="H15" s="23" t="str">
        <f>IF(Major_Errors&gt;0,"",IF(COUNTBLANK(Entrants!E23)=0,Entrants!E23,""))</f>
        <v/>
      </c>
      <c r="I15" s="23"/>
      <c r="J15" s="23" t="str">
        <f>IF(Major_Errors&gt;0,"",IF(COUNTBLANK(Entrants!G23)=0,Entrants!G23,""))</f>
        <v/>
      </c>
      <c r="K15" s="23" t="str">
        <f>IF(Major_Errors&gt;0,"",IF(Entrants!H23="y","Y",IF(Entrants!H23="n","N",IF(COUNTBLANK(Entrants!H23)=0,Entrants!H23,""))))</f>
        <v/>
      </c>
      <c r="L15" s="23" t="str">
        <f>IF(Major_Errors&gt;0,"",IF(COUNTBLANK(Entrants!J23)=0,Entrants!E64,""))</f>
        <v/>
      </c>
      <c r="M15" s="23" t="str">
        <f>IF(Major_Errors&gt;0,"",IF(COUNTBLANK(Entrants!K23)=0,"R",""))</f>
        <v/>
      </c>
      <c r="N15" s="23" t="str">
        <f>IF(Major_Errors&gt;0,"",IF(COUNTBLANK(E15)=1,"",IF(Entrants!L23="x","X","")))</f>
        <v/>
      </c>
      <c r="O15" s="23" t="str">
        <f>IF(Major_Errors&gt;0,"",IF(COUNTBLANK(E15)=1,"",IF(Entrants!L23="n","N","")))</f>
        <v/>
      </c>
      <c r="P15" s="29" t="str">
        <f>IF(Major_Errors&gt;0,"",IF(COUNTBLANK(Entrants!M23)=0,P$8,""))</f>
        <v/>
      </c>
      <c r="Q15" s="29" t="str">
        <f>IF(Major_Errors&gt;0,"",IF(COUNTBLANK(Entrants!N23)=0,Q$8,""))</f>
        <v/>
      </c>
      <c r="R15" s="29" t="str">
        <f>IF(Major_Errors&gt;0,"",IF(COUNTBLANK(Entrants!O23)=0,R$8,""))</f>
        <v/>
      </c>
      <c r="S15" s="29" t="str">
        <f>IF(Major_Errors&gt;0,"",IF(COUNTBLANK(Entrants!P23)=0,S$8,""))</f>
        <v/>
      </c>
      <c r="T15" s="29" t="str">
        <f>IF(Major_Errors&gt;0,"",IF(COUNTBLANK(Entrants!Q23)=0,T$8,""))</f>
        <v/>
      </c>
      <c r="U15" s="29" t="str">
        <f>IF(Major_Errors&gt;0,"",IF(COUNTBLANK(Entrants!R23)=0,U$8,""))</f>
        <v/>
      </c>
      <c r="V15" s="29" t="str">
        <f>IF(Major_Errors&gt;0,"",IF(Entrants!S23="Open",V$8,""))</f>
        <v/>
      </c>
      <c r="W15" s="29" t="str">
        <f>IF(Major_Errors&gt;0,"",IF(Entrants!S23="Sporter",V$8,""))</f>
        <v/>
      </c>
      <c r="X15" s="21" t="str">
        <f>IF(Major_Errors&gt;0,"",IF(COUNTBLANK(Entrants!U23)=0,Entrants!U23,""))</f>
        <v/>
      </c>
      <c r="Y15" s="29" t="str">
        <f>IF(Major_Errors&gt;0,"",IF(COUNTBLANK(Entrants!V23)=0,Y$8,""))</f>
        <v/>
      </c>
      <c r="Z15" s="29" t="str">
        <f>IF(Major_Errors&gt;0,"",IF(COUNTBLANK(Entrants!W23)=0,Y$8,""))</f>
        <v/>
      </c>
      <c r="AA15" s="29" t="str">
        <f>IF(Major_Errors&gt;0,"",IF(OR(Entrants!X23="a",Entrants!X23="A"),AA$8,""))</f>
        <v/>
      </c>
      <c r="AB15" s="29" t="str">
        <f>IF(Major_Errors&gt;0,"",IF(OR(Entrants!X23="b",Entrants!X23="B"),AA$8,""))</f>
        <v/>
      </c>
      <c r="AC15" s="29" t="str">
        <f>IF(Major_Errors&gt;0,"",IF(Entrants!$Y23="A",AC$8,""))</f>
        <v/>
      </c>
      <c r="AD15" s="29" t="str">
        <f>IF(Major_Errors&gt;0,"",IF(Entrants!$Y23="B",AD$8,""))</f>
        <v/>
      </c>
      <c r="AE15" s="240" t="str">
        <f>IF(Major_Errors&gt;0,"",IF(Entrants!$Y23="X",AE$8,""))</f>
        <v/>
      </c>
      <c r="AF15" s="322">
        <f t="shared" si="3"/>
        <v>0</v>
      </c>
      <c r="AG15" s="324">
        <f t="shared" si="4"/>
        <v>0</v>
      </c>
    </row>
    <row r="16" spans="1:33" ht="13.5" x14ac:dyDescent="0.25">
      <c r="A16" s="191" t="str">
        <f t="shared" si="0"/>
        <v/>
      </c>
      <c r="B16" s="232">
        <f t="shared" si="1"/>
        <v>0</v>
      </c>
      <c r="C16" s="191">
        <f t="shared" si="2"/>
        <v>0</v>
      </c>
      <c r="D16" s="191"/>
      <c r="E16" s="239" t="str">
        <f>IF(Major_Errors&gt;0,"",IF(COUNTBLANK(Entrants!B24)=0,'Entrant Data'!E11,""))</f>
        <v/>
      </c>
      <c r="F16" s="21" t="str">
        <f>IF(Major_Errors&gt;0,"",IF(COUNTBLANK(Entrants!C24)=0,'Entrant Data'!F11,""))</f>
        <v/>
      </c>
      <c r="G16" s="25" t="str">
        <f>IF(Major_Errors&gt;0,"",IF(COUNTBLANK(Entrants!D24)=0,Entrants!D24,""))</f>
        <v/>
      </c>
      <c r="H16" s="23" t="str">
        <f>IF(Major_Errors&gt;0,"",IF(COUNTBLANK(Entrants!E24)=0,Entrants!E24,""))</f>
        <v/>
      </c>
      <c r="I16" s="23"/>
      <c r="J16" s="23" t="str">
        <f>IF(Major_Errors&gt;0,"",IF(COUNTBLANK(Entrants!G24)=0,Entrants!G24,""))</f>
        <v/>
      </c>
      <c r="K16" s="23" t="str">
        <f>IF(Major_Errors&gt;0,"",IF(Entrants!H24="y","Y",IF(Entrants!H24="n","N",IF(COUNTBLANK(Entrants!H24)=0,Entrants!H24,""))))</f>
        <v/>
      </c>
      <c r="L16" s="23" t="str">
        <f>IF(Major_Errors&gt;0,"",IF(COUNTBLANK(Entrants!J24)=0,Entrants!E65,""))</f>
        <v/>
      </c>
      <c r="M16" s="23" t="str">
        <f>IF(Major_Errors&gt;0,"",IF(COUNTBLANK(Entrants!K24)=0,"R",""))</f>
        <v/>
      </c>
      <c r="N16" s="23" t="str">
        <f>IF(Major_Errors&gt;0,"",IF(COUNTBLANK(E16)=1,"",IF(Entrants!L24="x","X","")))</f>
        <v/>
      </c>
      <c r="O16" s="23" t="str">
        <f>IF(Major_Errors&gt;0,"",IF(COUNTBLANK(E16)=1,"",IF(Entrants!L24="n","N","")))</f>
        <v/>
      </c>
      <c r="P16" s="29" t="str">
        <f>IF(Major_Errors&gt;0,"",IF(COUNTBLANK(Entrants!M24)=0,P$8,""))</f>
        <v/>
      </c>
      <c r="Q16" s="29" t="str">
        <f>IF(Major_Errors&gt;0,"",IF(COUNTBLANK(Entrants!N24)=0,Q$8,""))</f>
        <v/>
      </c>
      <c r="R16" s="29" t="str">
        <f>IF(Major_Errors&gt;0,"",IF(COUNTBLANK(Entrants!O24)=0,R$8,""))</f>
        <v/>
      </c>
      <c r="S16" s="29" t="str">
        <f>IF(Major_Errors&gt;0,"",IF(COUNTBLANK(Entrants!P24)=0,S$8,""))</f>
        <v/>
      </c>
      <c r="T16" s="29" t="str">
        <f>IF(Major_Errors&gt;0,"",IF(COUNTBLANK(Entrants!Q24)=0,T$8,""))</f>
        <v/>
      </c>
      <c r="U16" s="29" t="str">
        <f>IF(Major_Errors&gt;0,"",IF(COUNTBLANK(Entrants!R24)=0,U$8,""))</f>
        <v/>
      </c>
      <c r="V16" s="29" t="str">
        <f>IF(Major_Errors&gt;0,"",IF(Entrants!S24="Open",V$8,""))</f>
        <v/>
      </c>
      <c r="W16" s="29" t="str">
        <f>IF(Major_Errors&gt;0,"",IF(Entrants!S24="Sporter",V$8,""))</f>
        <v/>
      </c>
      <c r="X16" s="21" t="str">
        <f>IF(Major_Errors&gt;0,"",IF(COUNTBLANK(Entrants!U24)=0,Entrants!U24,""))</f>
        <v/>
      </c>
      <c r="Y16" s="29" t="str">
        <f>IF(Major_Errors&gt;0,"",IF(COUNTBLANK(Entrants!V24)=0,Y$8,""))</f>
        <v/>
      </c>
      <c r="Z16" s="29" t="str">
        <f>IF(Major_Errors&gt;0,"",IF(COUNTBLANK(Entrants!W24)=0,Y$8,""))</f>
        <v/>
      </c>
      <c r="AA16" s="29" t="str">
        <f>IF(Major_Errors&gt;0,"",IF(OR(Entrants!X24="a",Entrants!X24="A"),AA$8,""))</f>
        <v/>
      </c>
      <c r="AB16" s="29" t="str">
        <f>IF(Major_Errors&gt;0,"",IF(OR(Entrants!X24="b",Entrants!X24="B"),AA$8,""))</f>
        <v/>
      </c>
      <c r="AC16" s="29" t="str">
        <f>IF(Major_Errors&gt;0,"",IF(Entrants!$Y24="A",AC$8,""))</f>
        <v/>
      </c>
      <c r="AD16" s="29" t="str">
        <f>IF(Major_Errors&gt;0,"",IF(Entrants!$Y24="B",AD$8,""))</f>
        <v/>
      </c>
      <c r="AE16" s="240" t="str">
        <f>IF(Major_Errors&gt;0,"",IF(Entrants!$Y24="X",AE$8,""))</f>
        <v/>
      </c>
      <c r="AF16" s="322">
        <f t="shared" si="3"/>
        <v>0</v>
      </c>
      <c r="AG16" s="324">
        <f t="shared" si="4"/>
        <v>0</v>
      </c>
    </row>
    <row r="17" spans="1:33" ht="13.5" x14ac:dyDescent="0.25">
      <c r="A17" s="191" t="str">
        <f t="shared" si="0"/>
        <v/>
      </c>
      <c r="B17" s="232">
        <f t="shared" si="1"/>
        <v>0</v>
      </c>
      <c r="C17" s="191">
        <f t="shared" si="2"/>
        <v>0</v>
      </c>
      <c r="D17" s="191"/>
      <c r="E17" s="239" t="str">
        <f>IF(Major_Errors&gt;0,"",IF(COUNTBLANK(Entrants!B25)=0,'Entrant Data'!E12,""))</f>
        <v/>
      </c>
      <c r="F17" s="21" t="str">
        <f>IF(Major_Errors&gt;0,"",IF(COUNTBLANK(Entrants!C25)=0,'Entrant Data'!F12,""))</f>
        <v/>
      </c>
      <c r="G17" s="25" t="str">
        <f>IF(Major_Errors&gt;0,"",IF(COUNTBLANK(Entrants!D25)=0,Entrants!D25,""))</f>
        <v/>
      </c>
      <c r="H17" s="23" t="str">
        <f>IF(Major_Errors&gt;0,"",IF(COUNTBLANK(Entrants!E25)=0,Entrants!E25,""))</f>
        <v/>
      </c>
      <c r="I17" s="23"/>
      <c r="J17" s="23" t="str">
        <f>IF(Major_Errors&gt;0,"",IF(COUNTBLANK(Entrants!G25)=0,Entrants!G25,""))</f>
        <v/>
      </c>
      <c r="K17" s="23" t="str">
        <f>IF(Major_Errors&gt;0,"",IF(Entrants!H25="y","Y",IF(Entrants!H25="n","N",IF(COUNTBLANK(Entrants!H25)=0,Entrants!H25,""))))</f>
        <v/>
      </c>
      <c r="L17" s="23" t="str">
        <f>IF(Major_Errors&gt;0,"",IF(COUNTBLANK(Entrants!J25)=0,Entrants!E66,""))</f>
        <v/>
      </c>
      <c r="M17" s="23" t="str">
        <f>IF(Major_Errors&gt;0,"",IF(COUNTBLANK(Entrants!K25)=0,"R",""))</f>
        <v/>
      </c>
      <c r="N17" s="23" t="str">
        <f>IF(Major_Errors&gt;0,"",IF(COUNTBLANK(E17)=1,"",IF(Entrants!L25="x","X","")))</f>
        <v/>
      </c>
      <c r="O17" s="23" t="str">
        <f>IF(Major_Errors&gt;0,"",IF(COUNTBLANK(E17)=1,"",IF(Entrants!L25="n","N","")))</f>
        <v/>
      </c>
      <c r="P17" s="29" t="str">
        <f>IF(Major_Errors&gt;0,"",IF(COUNTBLANK(Entrants!M25)=0,P$8,""))</f>
        <v/>
      </c>
      <c r="Q17" s="29" t="str">
        <f>IF(Major_Errors&gt;0,"",IF(COUNTBLANK(Entrants!N25)=0,Q$8,""))</f>
        <v/>
      </c>
      <c r="R17" s="29" t="str">
        <f>IF(Major_Errors&gt;0,"",IF(COUNTBLANK(Entrants!O25)=0,R$8,""))</f>
        <v/>
      </c>
      <c r="S17" s="29" t="str">
        <f>IF(Major_Errors&gt;0,"",IF(COUNTBLANK(Entrants!P25)=0,S$8,""))</f>
        <v/>
      </c>
      <c r="T17" s="29" t="str">
        <f>IF(Major_Errors&gt;0,"",IF(COUNTBLANK(Entrants!Q25)=0,T$8,""))</f>
        <v/>
      </c>
      <c r="U17" s="29" t="str">
        <f>IF(Major_Errors&gt;0,"",IF(COUNTBLANK(Entrants!R25)=0,U$8,""))</f>
        <v/>
      </c>
      <c r="V17" s="29" t="str">
        <f>IF(Major_Errors&gt;0,"",IF(Entrants!S25="Open",V$8,""))</f>
        <v/>
      </c>
      <c r="W17" s="29" t="str">
        <f>IF(Major_Errors&gt;0,"",IF(Entrants!S25="Sporter",V$8,""))</f>
        <v/>
      </c>
      <c r="X17" s="21" t="str">
        <f>IF(Major_Errors&gt;0,"",IF(COUNTBLANK(Entrants!U25)=0,Entrants!U25,""))</f>
        <v/>
      </c>
      <c r="Y17" s="29" t="str">
        <f>IF(Major_Errors&gt;0,"",IF(COUNTBLANK(Entrants!V25)=0,Y$8,""))</f>
        <v/>
      </c>
      <c r="Z17" s="29" t="str">
        <f>IF(Major_Errors&gt;0,"",IF(COUNTBLANK(Entrants!W25)=0,Y$8,""))</f>
        <v/>
      </c>
      <c r="AA17" s="29" t="str">
        <f>IF(Major_Errors&gt;0,"",IF(OR(Entrants!X25="a",Entrants!X25="A"),AA$8,""))</f>
        <v/>
      </c>
      <c r="AB17" s="29" t="str">
        <f>IF(Major_Errors&gt;0,"",IF(OR(Entrants!X25="b",Entrants!X25="B"),AA$8,""))</f>
        <v/>
      </c>
      <c r="AC17" s="29" t="str">
        <f>IF(Major_Errors&gt;0,"",IF(Entrants!$Y25="A",AC$8,""))</f>
        <v/>
      </c>
      <c r="AD17" s="29" t="str">
        <f>IF(Major_Errors&gt;0,"",IF(Entrants!$Y25="B",AD$8,""))</f>
        <v/>
      </c>
      <c r="AE17" s="240" t="str">
        <f>IF(Major_Errors&gt;0,"",IF(Entrants!$Y25="X",AE$8,""))</f>
        <v/>
      </c>
      <c r="AF17" s="322">
        <f t="shared" si="3"/>
        <v>0</v>
      </c>
      <c r="AG17" s="324">
        <f t="shared" si="4"/>
        <v>0</v>
      </c>
    </row>
    <row r="18" spans="1:33" ht="13.5" x14ac:dyDescent="0.25">
      <c r="A18" s="191" t="str">
        <f t="shared" si="0"/>
        <v/>
      </c>
      <c r="B18" s="232">
        <f t="shared" si="1"/>
        <v>0</v>
      </c>
      <c r="C18" s="191">
        <f t="shared" si="2"/>
        <v>0</v>
      </c>
      <c r="D18" s="191"/>
      <c r="E18" s="239" t="str">
        <f>IF(Major_Errors&gt;0,"",IF(COUNTBLANK(Entrants!B26)=0,'Entrant Data'!E13,""))</f>
        <v/>
      </c>
      <c r="F18" s="21" t="str">
        <f>IF(Major_Errors&gt;0,"",IF(COUNTBLANK(Entrants!C26)=0,'Entrant Data'!F13,""))</f>
        <v/>
      </c>
      <c r="G18" s="25" t="str">
        <f>IF(Major_Errors&gt;0,"",IF(COUNTBLANK(Entrants!D26)=0,Entrants!D26,""))</f>
        <v/>
      </c>
      <c r="H18" s="23" t="str">
        <f>IF(Major_Errors&gt;0,"",IF(COUNTBLANK(Entrants!E26)=0,Entrants!E26,""))</f>
        <v/>
      </c>
      <c r="I18" s="23"/>
      <c r="J18" s="23" t="str">
        <f>IF(Major_Errors&gt;0,"",IF(COUNTBLANK(Entrants!G26)=0,Entrants!G26,""))</f>
        <v/>
      </c>
      <c r="K18" s="23" t="str">
        <f>IF(Major_Errors&gt;0,"",IF(Entrants!H26="y","Y",IF(Entrants!H26="n","N",IF(COUNTBLANK(Entrants!H26)=0,Entrants!H26,""))))</f>
        <v/>
      </c>
      <c r="L18" s="23" t="str">
        <f>IF(Major_Errors&gt;0,"",IF(COUNTBLANK(Entrants!J26)=0,Entrants!E67,""))</f>
        <v/>
      </c>
      <c r="M18" s="23" t="str">
        <f>IF(Major_Errors&gt;0,"",IF(COUNTBLANK(Entrants!K26)=0,"R",""))</f>
        <v/>
      </c>
      <c r="N18" s="23" t="str">
        <f>IF(Major_Errors&gt;0,"",IF(COUNTBLANK(E18)=1,"",IF(Entrants!L26="x","X","")))</f>
        <v/>
      </c>
      <c r="O18" s="23" t="str">
        <f>IF(Major_Errors&gt;0,"",IF(COUNTBLANK(E18)=1,"",IF(Entrants!L26="n","N","")))</f>
        <v/>
      </c>
      <c r="P18" s="29" t="str">
        <f>IF(Major_Errors&gt;0,"",IF(COUNTBLANK(Entrants!M26)=0,P$8,""))</f>
        <v/>
      </c>
      <c r="Q18" s="29" t="str">
        <f>IF(Major_Errors&gt;0,"",IF(COUNTBLANK(Entrants!N26)=0,Q$8,""))</f>
        <v/>
      </c>
      <c r="R18" s="29" t="str">
        <f>IF(Major_Errors&gt;0,"",IF(COUNTBLANK(Entrants!O26)=0,R$8,""))</f>
        <v/>
      </c>
      <c r="S18" s="29" t="str">
        <f>IF(Major_Errors&gt;0,"",IF(COUNTBLANK(Entrants!P26)=0,S$8,""))</f>
        <v/>
      </c>
      <c r="T18" s="29" t="str">
        <f>IF(Major_Errors&gt;0,"",IF(COUNTBLANK(Entrants!Q26)=0,T$8,""))</f>
        <v/>
      </c>
      <c r="U18" s="29" t="str">
        <f>IF(Major_Errors&gt;0,"",IF(COUNTBLANK(Entrants!R26)=0,U$8,""))</f>
        <v/>
      </c>
      <c r="V18" s="29" t="str">
        <f>IF(Major_Errors&gt;0,"",IF(Entrants!S26="Open",V$8,""))</f>
        <v/>
      </c>
      <c r="W18" s="29" t="str">
        <f>IF(Major_Errors&gt;0,"",IF(Entrants!S26="Sporter",V$8,""))</f>
        <v/>
      </c>
      <c r="X18" s="21" t="str">
        <f>IF(Major_Errors&gt;0,"",IF(COUNTBLANK(Entrants!U26)=0,Entrants!U26,""))</f>
        <v/>
      </c>
      <c r="Y18" s="29" t="str">
        <f>IF(Major_Errors&gt;0,"",IF(COUNTBLANK(Entrants!V26)=0,Y$8,""))</f>
        <v/>
      </c>
      <c r="Z18" s="29" t="str">
        <f>IF(Major_Errors&gt;0,"",IF(COUNTBLANK(Entrants!W26)=0,Y$8,""))</f>
        <v/>
      </c>
      <c r="AA18" s="29" t="str">
        <f>IF(Major_Errors&gt;0,"",IF(OR(Entrants!X26="a",Entrants!X26="A"),AA$8,""))</f>
        <v/>
      </c>
      <c r="AB18" s="29" t="str">
        <f>IF(Major_Errors&gt;0,"",IF(OR(Entrants!X26="b",Entrants!X26="B"),AA$8,""))</f>
        <v/>
      </c>
      <c r="AC18" s="29" t="str">
        <f>IF(Major_Errors&gt;0,"",IF(Entrants!$Y26="A",AC$8,""))</f>
        <v/>
      </c>
      <c r="AD18" s="29" t="str">
        <f>IF(Major_Errors&gt;0,"",IF(Entrants!$Y26="B",AD$8,""))</f>
        <v/>
      </c>
      <c r="AE18" s="240" t="str">
        <f>IF(Major_Errors&gt;0,"",IF(Entrants!$Y26="X",AE$8,""))</f>
        <v/>
      </c>
      <c r="AF18" s="322">
        <f t="shared" si="3"/>
        <v>0</v>
      </c>
      <c r="AG18" s="324">
        <f t="shared" si="4"/>
        <v>0</v>
      </c>
    </row>
    <row r="19" spans="1:33" ht="13.5" x14ac:dyDescent="0.25">
      <c r="A19" s="191" t="str">
        <f t="shared" si="0"/>
        <v/>
      </c>
      <c r="B19" s="232">
        <f t="shared" si="1"/>
        <v>0</v>
      </c>
      <c r="C19" s="191">
        <f t="shared" si="2"/>
        <v>0</v>
      </c>
      <c r="D19" s="191"/>
      <c r="E19" s="239" t="str">
        <f>IF(Major_Errors&gt;0,"",IF(COUNTBLANK(Entrants!B27)=0,'Entrant Data'!E14,""))</f>
        <v/>
      </c>
      <c r="F19" s="21" t="str">
        <f>IF(Major_Errors&gt;0,"",IF(COUNTBLANK(Entrants!C27)=0,'Entrant Data'!F14,""))</f>
        <v/>
      </c>
      <c r="G19" s="25" t="str">
        <f>IF(Major_Errors&gt;0,"",IF(COUNTBLANK(Entrants!D27)=0,Entrants!D27,""))</f>
        <v/>
      </c>
      <c r="H19" s="23" t="str">
        <f>IF(Major_Errors&gt;0,"",IF(COUNTBLANK(Entrants!E27)=0,Entrants!E27,""))</f>
        <v/>
      </c>
      <c r="I19" s="23"/>
      <c r="J19" s="23" t="str">
        <f>IF(Major_Errors&gt;0,"",IF(COUNTBLANK(Entrants!G27)=0,Entrants!G27,""))</f>
        <v/>
      </c>
      <c r="K19" s="23" t="str">
        <f>IF(Major_Errors&gt;0,"",IF(Entrants!H27="y","Y",IF(Entrants!H27="n","N",IF(COUNTBLANK(Entrants!H27)=0,Entrants!H27,""))))</f>
        <v/>
      </c>
      <c r="L19" s="23" t="str">
        <f>IF(Major_Errors&gt;0,"",IF(COUNTBLANK(Entrants!J27)=0,Entrants!E68,""))</f>
        <v/>
      </c>
      <c r="M19" s="23" t="str">
        <f>IF(Major_Errors&gt;0,"",IF(COUNTBLANK(Entrants!K27)=0,"R",""))</f>
        <v/>
      </c>
      <c r="N19" s="23" t="str">
        <f>IF(Major_Errors&gt;0,"",IF(COUNTBLANK(E19)=1,"",IF(Entrants!L27="x","X","")))</f>
        <v/>
      </c>
      <c r="O19" s="23" t="str">
        <f>IF(Major_Errors&gt;0,"",IF(COUNTBLANK(E19)=1,"",IF(Entrants!L27="n","N","")))</f>
        <v/>
      </c>
      <c r="P19" s="29" t="str">
        <f>IF(Major_Errors&gt;0,"",IF(COUNTBLANK(Entrants!M27)=0,P$8,""))</f>
        <v/>
      </c>
      <c r="Q19" s="29" t="str">
        <f>IF(Major_Errors&gt;0,"",IF(COUNTBLANK(Entrants!N27)=0,Q$8,""))</f>
        <v/>
      </c>
      <c r="R19" s="29" t="str">
        <f>IF(Major_Errors&gt;0,"",IF(COUNTBLANK(Entrants!O27)=0,R$8,""))</f>
        <v/>
      </c>
      <c r="S19" s="29" t="str">
        <f>IF(Major_Errors&gt;0,"",IF(COUNTBLANK(Entrants!P27)=0,S$8,""))</f>
        <v/>
      </c>
      <c r="T19" s="29" t="str">
        <f>IF(Major_Errors&gt;0,"",IF(COUNTBLANK(Entrants!Q27)=0,T$8,""))</f>
        <v/>
      </c>
      <c r="U19" s="29" t="str">
        <f>IF(Major_Errors&gt;0,"",IF(COUNTBLANK(Entrants!R27)=0,U$8,""))</f>
        <v/>
      </c>
      <c r="V19" s="29" t="str">
        <f>IF(Major_Errors&gt;0,"",IF(Entrants!S27="Open",V$8,""))</f>
        <v/>
      </c>
      <c r="W19" s="29" t="str">
        <f>IF(Major_Errors&gt;0,"",IF(Entrants!S27="Sporter",V$8,""))</f>
        <v/>
      </c>
      <c r="X19" s="21" t="str">
        <f>IF(Major_Errors&gt;0,"",IF(COUNTBLANK(Entrants!U27)=0,Entrants!U27,""))</f>
        <v/>
      </c>
      <c r="Y19" s="29" t="str">
        <f>IF(Major_Errors&gt;0,"",IF(COUNTBLANK(Entrants!V27)=0,Y$8,""))</f>
        <v/>
      </c>
      <c r="Z19" s="29" t="str">
        <f>IF(Major_Errors&gt;0,"",IF(COUNTBLANK(Entrants!W27)=0,Y$8,""))</f>
        <v/>
      </c>
      <c r="AA19" s="29" t="str">
        <f>IF(Major_Errors&gt;0,"",IF(OR(Entrants!X27="a",Entrants!X27="A"),AA$8,""))</f>
        <v/>
      </c>
      <c r="AB19" s="29" t="str">
        <f>IF(Major_Errors&gt;0,"",IF(OR(Entrants!X27="b",Entrants!X27="B"),AA$8,""))</f>
        <v/>
      </c>
      <c r="AC19" s="29" t="str">
        <f>IF(Major_Errors&gt;0,"",IF(Entrants!$Y27="A",AC$8,""))</f>
        <v/>
      </c>
      <c r="AD19" s="29" t="str">
        <f>IF(Major_Errors&gt;0,"",IF(Entrants!$Y27="B",AD$8,""))</f>
        <v/>
      </c>
      <c r="AE19" s="240" t="str">
        <f>IF(Major_Errors&gt;0,"",IF(Entrants!$Y27="X",AE$8,""))</f>
        <v/>
      </c>
      <c r="AF19" s="322">
        <f t="shared" si="3"/>
        <v>0</v>
      </c>
      <c r="AG19" s="324">
        <f t="shared" si="4"/>
        <v>0</v>
      </c>
    </row>
    <row r="20" spans="1:33" ht="13.5" x14ac:dyDescent="0.25">
      <c r="A20" s="191" t="str">
        <f t="shared" si="0"/>
        <v/>
      </c>
      <c r="B20" s="232">
        <f t="shared" si="1"/>
        <v>0</v>
      </c>
      <c r="C20" s="191">
        <f t="shared" si="2"/>
        <v>0</v>
      </c>
      <c r="D20" s="191"/>
      <c r="E20" s="239" t="str">
        <f>IF(Major_Errors&gt;0,"",IF(COUNTBLANK(Entrants!B28)=0,'Entrant Data'!E15,""))</f>
        <v/>
      </c>
      <c r="F20" s="21" t="str">
        <f>IF(Major_Errors&gt;0,"",IF(COUNTBLANK(Entrants!C28)=0,'Entrant Data'!F15,""))</f>
        <v/>
      </c>
      <c r="G20" s="25" t="str">
        <f>IF(Major_Errors&gt;0,"",IF(COUNTBLANK(Entrants!D28)=0,Entrants!D28,""))</f>
        <v/>
      </c>
      <c r="H20" s="23" t="str">
        <f>IF(Major_Errors&gt;0,"",IF(COUNTBLANK(Entrants!E28)=0,Entrants!E28,""))</f>
        <v/>
      </c>
      <c r="I20" s="23"/>
      <c r="J20" s="23" t="str">
        <f>IF(Major_Errors&gt;0,"",IF(COUNTBLANK(Entrants!G28)=0,Entrants!G28,""))</f>
        <v/>
      </c>
      <c r="K20" s="23" t="str">
        <f>IF(Major_Errors&gt;0,"",IF(Entrants!H28="y","Y",IF(Entrants!H28="n","N",IF(COUNTBLANK(Entrants!H28)=0,Entrants!H28,""))))</f>
        <v/>
      </c>
      <c r="L20" s="23" t="str">
        <f>IF(Major_Errors&gt;0,"",IF(COUNTBLANK(Entrants!J28)=0,Entrants!E69,""))</f>
        <v/>
      </c>
      <c r="M20" s="23" t="str">
        <f>IF(Major_Errors&gt;0,"",IF(COUNTBLANK(Entrants!K28)=0,"R",""))</f>
        <v/>
      </c>
      <c r="N20" s="23" t="str">
        <f>IF(Major_Errors&gt;0,"",IF(COUNTBLANK(E20)=1,"",IF(Entrants!L28="x","X","")))</f>
        <v/>
      </c>
      <c r="O20" s="23" t="str">
        <f>IF(Major_Errors&gt;0,"",IF(COUNTBLANK(E20)=1,"",IF(Entrants!L28="n","N","")))</f>
        <v/>
      </c>
      <c r="P20" s="29" t="str">
        <f>IF(Major_Errors&gt;0,"",IF(COUNTBLANK(Entrants!M28)=0,P$8,""))</f>
        <v/>
      </c>
      <c r="Q20" s="29" t="str">
        <f>IF(Major_Errors&gt;0,"",IF(COUNTBLANK(Entrants!N28)=0,Q$8,""))</f>
        <v/>
      </c>
      <c r="R20" s="29" t="str">
        <f>IF(Major_Errors&gt;0,"",IF(COUNTBLANK(Entrants!O28)=0,R$8,""))</f>
        <v/>
      </c>
      <c r="S20" s="29" t="str">
        <f>IF(Major_Errors&gt;0,"",IF(COUNTBLANK(Entrants!P28)=0,S$8,""))</f>
        <v/>
      </c>
      <c r="T20" s="29" t="str">
        <f>IF(Major_Errors&gt;0,"",IF(COUNTBLANK(Entrants!Q28)=0,T$8,""))</f>
        <v/>
      </c>
      <c r="U20" s="29" t="str">
        <f>IF(Major_Errors&gt;0,"",IF(COUNTBLANK(Entrants!R28)=0,U$8,""))</f>
        <v/>
      </c>
      <c r="V20" s="29" t="str">
        <f>IF(Major_Errors&gt;0,"",IF(Entrants!S28="Open",V$8,""))</f>
        <v/>
      </c>
      <c r="W20" s="29" t="str">
        <f>IF(Major_Errors&gt;0,"",IF(Entrants!S28="Sporter",V$8,""))</f>
        <v/>
      </c>
      <c r="X20" s="21" t="str">
        <f>IF(Major_Errors&gt;0,"",IF(COUNTBLANK(Entrants!U28)=0,Entrants!U28,""))</f>
        <v/>
      </c>
      <c r="Y20" s="29" t="str">
        <f>IF(Major_Errors&gt;0,"",IF(COUNTBLANK(Entrants!V28)=0,Y$8,""))</f>
        <v/>
      </c>
      <c r="Z20" s="29" t="str">
        <f>IF(Major_Errors&gt;0,"",IF(COUNTBLANK(Entrants!W28)=0,Y$8,""))</f>
        <v/>
      </c>
      <c r="AA20" s="29" t="str">
        <f>IF(Major_Errors&gt;0,"",IF(OR(Entrants!X28="a",Entrants!X28="A"),AA$8,""))</f>
        <v/>
      </c>
      <c r="AB20" s="29" t="str">
        <f>IF(Major_Errors&gt;0,"",IF(OR(Entrants!X28="b",Entrants!X28="B"),AA$8,""))</f>
        <v/>
      </c>
      <c r="AC20" s="29" t="str">
        <f>IF(Major_Errors&gt;0,"",IF(Entrants!$Y28="A",AC$8,""))</f>
        <v/>
      </c>
      <c r="AD20" s="29" t="str">
        <f>IF(Major_Errors&gt;0,"",IF(Entrants!$Y28="B",AD$8,""))</f>
        <v/>
      </c>
      <c r="AE20" s="240" t="str">
        <f>IF(Major_Errors&gt;0,"",IF(Entrants!$Y28="X",AE$8,""))</f>
        <v/>
      </c>
      <c r="AF20" s="322">
        <f t="shared" si="3"/>
        <v>0</v>
      </c>
      <c r="AG20" s="324">
        <f t="shared" si="4"/>
        <v>0</v>
      </c>
    </row>
    <row r="21" spans="1:33" ht="13.5" x14ac:dyDescent="0.25">
      <c r="A21" s="191" t="str">
        <f t="shared" si="0"/>
        <v/>
      </c>
      <c r="B21" s="232">
        <f t="shared" si="1"/>
        <v>0</v>
      </c>
      <c r="C21" s="191">
        <f t="shared" si="2"/>
        <v>0</v>
      </c>
      <c r="D21" s="191"/>
      <c r="E21" s="239" t="str">
        <f>IF(Major_Errors&gt;0,"",IF(COUNTBLANK(Entrants!B29)=0,'Entrant Data'!E16,""))</f>
        <v/>
      </c>
      <c r="F21" s="21" t="str">
        <f>IF(Major_Errors&gt;0,"",IF(COUNTBLANK(Entrants!C29)=0,'Entrant Data'!F16,""))</f>
        <v/>
      </c>
      <c r="G21" s="25" t="str">
        <f>IF(Major_Errors&gt;0,"",IF(COUNTBLANK(Entrants!D29)=0,Entrants!D29,""))</f>
        <v/>
      </c>
      <c r="H21" s="23" t="str">
        <f>IF(Major_Errors&gt;0,"",IF(COUNTBLANK(Entrants!E29)=0,Entrants!E29,""))</f>
        <v/>
      </c>
      <c r="I21" s="23"/>
      <c r="J21" s="23" t="str">
        <f>IF(Major_Errors&gt;0,"",IF(COUNTBLANK(Entrants!G29)=0,Entrants!G29,""))</f>
        <v/>
      </c>
      <c r="K21" s="23" t="str">
        <f>IF(Major_Errors&gt;0,"",IF(Entrants!H29="y","Y",IF(Entrants!H29="n","N",IF(COUNTBLANK(Entrants!H29)=0,Entrants!H29,""))))</f>
        <v/>
      </c>
      <c r="L21" s="23" t="str">
        <f>IF(Major_Errors&gt;0,"",IF(COUNTBLANK(Entrants!J29)=0,Entrants!E70,""))</f>
        <v/>
      </c>
      <c r="M21" s="23" t="str">
        <f>IF(Major_Errors&gt;0,"",IF(COUNTBLANK(Entrants!K29)=0,"R",""))</f>
        <v/>
      </c>
      <c r="N21" s="23" t="str">
        <f>IF(Major_Errors&gt;0,"",IF(COUNTBLANK(E21)=1,"",IF(Entrants!L29="x","X","")))</f>
        <v/>
      </c>
      <c r="O21" s="23" t="str">
        <f>IF(Major_Errors&gt;0,"",IF(COUNTBLANK(E21)=1,"",IF(Entrants!L29="n","N","")))</f>
        <v/>
      </c>
      <c r="P21" s="29" t="str">
        <f>IF(Major_Errors&gt;0,"",IF(COUNTBLANK(Entrants!M29)=0,P$8,""))</f>
        <v/>
      </c>
      <c r="Q21" s="29" t="str">
        <f>IF(Major_Errors&gt;0,"",IF(COUNTBLANK(Entrants!N29)=0,Q$8,""))</f>
        <v/>
      </c>
      <c r="R21" s="29" t="str">
        <f>IF(Major_Errors&gt;0,"",IF(COUNTBLANK(Entrants!O29)=0,R$8,""))</f>
        <v/>
      </c>
      <c r="S21" s="29" t="str">
        <f>IF(Major_Errors&gt;0,"",IF(COUNTBLANK(Entrants!P29)=0,S$8,""))</f>
        <v/>
      </c>
      <c r="T21" s="29" t="str">
        <f>IF(Major_Errors&gt;0,"",IF(COUNTBLANK(Entrants!Q29)=0,T$8,""))</f>
        <v/>
      </c>
      <c r="U21" s="29" t="str">
        <f>IF(Major_Errors&gt;0,"",IF(COUNTBLANK(Entrants!R29)=0,U$8,""))</f>
        <v/>
      </c>
      <c r="V21" s="29" t="str">
        <f>IF(Major_Errors&gt;0,"",IF(Entrants!S29="Open",V$8,""))</f>
        <v/>
      </c>
      <c r="W21" s="29" t="str">
        <f>IF(Major_Errors&gt;0,"",IF(Entrants!S29="Sporter",V$8,""))</f>
        <v/>
      </c>
      <c r="X21" s="21" t="str">
        <f>IF(Major_Errors&gt;0,"",IF(COUNTBLANK(Entrants!U29)=0,Entrants!U29,""))</f>
        <v/>
      </c>
      <c r="Y21" s="29" t="str">
        <f>IF(Major_Errors&gt;0,"",IF(COUNTBLANK(Entrants!V29)=0,Y$8,""))</f>
        <v/>
      </c>
      <c r="Z21" s="29" t="str">
        <f>IF(Major_Errors&gt;0,"",IF(COUNTBLANK(Entrants!W29)=0,Y$8,""))</f>
        <v/>
      </c>
      <c r="AA21" s="29" t="str">
        <f>IF(Major_Errors&gt;0,"",IF(OR(Entrants!X29="a",Entrants!X29="A"),AA$8,""))</f>
        <v/>
      </c>
      <c r="AB21" s="29" t="str">
        <f>IF(Major_Errors&gt;0,"",IF(OR(Entrants!X29="b",Entrants!X29="B"),AA$8,""))</f>
        <v/>
      </c>
      <c r="AC21" s="29" t="str">
        <f>IF(Major_Errors&gt;0,"",IF(Entrants!$Y29="A",AC$8,""))</f>
        <v/>
      </c>
      <c r="AD21" s="29" t="str">
        <f>IF(Major_Errors&gt;0,"",IF(Entrants!$Y29="B",AD$8,""))</f>
        <v/>
      </c>
      <c r="AE21" s="240" t="str">
        <f>IF(Major_Errors&gt;0,"",IF(Entrants!$Y29="X",AE$8,""))</f>
        <v/>
      </c>
      <c r="AF21" s="322">
        <f t="shared" si="3"/>
        <v>0</v>
      </c>
      <c r="AG21" s="324">
        <f t="shared" si="4"/>
        <v>0</v>
      </c>
    </row>
    <row r="22" spans="1:33" ht="13.5" x14ac:dyDescent="0.25">
      <c r="A22" s="191" t="str">
        <f t="shared" si="0"/>
        <v/>
      </c>
      <c r="B22" s="232">
        <f t="shared" si="1"/>
        <v>0</v>
      </c>
      <c r="C22" s="191">
        <f t="shared" si="2"/>
        <v>0</v>
      </c>
      <c r="D22" s="191"/>
      <c r="E22" s="239" t="str">
        <f>IF(Major_Errors&gt;0,"",IF(COUNTBLANK(Entrants!B30)=0,'Entrant Data'!E17,""))</f>
        <v/>
      </c>
      <c r="F22" s="21" t="str">
        <f>IF(Major_Errors&gt;0,"",IF(COUNTBLANK(Entrants!C30)=0,'Entrant Data'!F17,""))</f>
        <v/>
      </c>
      <c r="G22" s="25" t="str">
        <f>IF(Major_Errors&gt;0,"",IF(COUNTBLANK(Entrants!D30)=0,Entrants!D30,""))</f>
        <v/>
      </c>
      <c r="H22" s="23" t="str">
        <f>IF(Major_Errors&gt;0,"",IF(COUNTBLANK(Entrants!E30)=0,Entrants!E30,""))</f>
        <v/>
      </c>
      <c r="I22" s="23"/>
      <c r="J22" s="23" t="str">
        <f>IF(Major_Errors&gt;0,"",IF(COUNTBLANK(Entrants!G30)=0,Entrants!G30,""))</f>
        <v/>
      </c>
      <c r="K22" s="23" t="str">
        <f>IF(Major_Errors&gt;0,"",IF(Entrants!H30="y","Y",IF(Entrants!H30="n","N",IF(COUNTBLANK(Entrants!H30)=0,Entrants!H30,""))))</f>
        <v/>
      </c>
      <c r="L22" s="23" t="str">
        <f>IF(Major_Errors&gt;0,"",IF(COUNTBLANK(Entrants!J30)=0,Entrants!E71,""))</f>
        <v/>
      </c>
      <c r="M22" s="23" t="str">
        <f>IF(Major_Errors&gt;0,"",IF(COUNTBLANK(Entrants!K30)=0,"R",""))</f>
        <v/>
      </c>
      <c r="N22" s="23" t="str">
        <f>IF(Major_Errors&gt;0,"",IF(COUNTBLANK(E22)=1,"",IF(Entrants!L30="x","X","")))</f>
        <v/>
      </c>
      <c r="O22" s="23" t="str">
        <f>IF(Major_Errors&gt;0,"",IF(COUNTBLANK(E22)=1,"",IF(Entrants!L30="n","N","")))</f>
        <v/>
      </c>
      <c r="P22" s="29" t="str">
        <f>IF(Major_Errors&gt;0,"",IF(COUNTBLANK(Entrants!M30)=0,P$8,""))</f>
        <v/>
      </c>
      <c r="Q22" s="29" t="str">
        <f>IF(Major_Errors&gt;0,"",IF(COUNTBLANK(Entrants!N30)=0,Q$8,""))</f>
        <v/>
      </c>
      <c r="R22" s="29" t="str">
        <f>IF(Major_Errors&gt;0,"",IF(COUNTBLANK(Entrants!O30)=0,R$8,""))</f>
        <v/>
      </c>
      <c r="S22" s="29" t="str">
        <f>IF(Major_Errors&gt;0,"",IF(COUNTBLANK(Entrants!P30)=0,S$8,""))</f>
        <v/>
      </c>
      <c r="T22" s="29" t="str">
        <f>IF(Major_Errors&gt;0,"",IF(COUNTBLANK(Entrants!Q30)=0,T$8,""))</f>
        <v/>
      </c>
      <c r="U22" s="29" t="str">
        <f>IF(Major_Errors&gt;0,"",IF(COUNTBLANK(Entrants!R30)=0,U$8,""))</f>
        <v/>
      </c>
      <c r="V22" s="29" t="str">
        <f>IF(Major_Errors&gt;0,"",IF(Entrants!S30="Open",V$8,""))</f>
        <v/>
      </c>
      <c r="W22" s="29" t="str">
        <f>IF(Major_Errors&gt;0,"",IF(Entrants!S30="Sporter",V$8,""))</f>
        <v/>
      </c>
      <c r="X22" s="21" t="str">
        <f>IF(Major_Errors&gt;0,"",IF(COUNTBLANK(Entrants!U30)=0,Entrants!U30,""))</f>
        <v/>
      </c>
      <c r="Y22" s="29" t="str">
        <f>IF(Major_Errors&gt;0,"",IF(COUNTBLANK(Entrants!V30)=0,Y$8,""))</f>
        <v/>
      </c>
      <c r="Z22" s="29" t="str">
        <f>IF(Major_Errors&gt;0,"",IF(COUNTBLANK(Entrants!W30)=0,Y$8,""))</f>
        <v/>
      </c>
      <c r="AA22" s="29" t="str">
        <f>IF(Major_Errors&gt;0,"",IF(OR(Entrants!X30="a",Entrants!X30="A"),AA$8,""))</f>
        <v/>
      </c>
      <c r="AB22" s="29" t="str">
        <f>IF(Major_Errors&gt;0,"",IF(OR(Entrants!X30="b",Entrants!X30="B"),AA$8,""))</f>
        <v/>
      </c>
      <c r="AC22" s="29" t="str">
        <f>IF(Major_Errors&gt;0,"",IF(Entrants!$Y30="A",AC$8,""))</f>
        <v/>
      </c>
      <c r="AD22" s="29" t="str">
        <f>IF(Major_Errors&gt;0,"",IF(Entrants!$Y30="B",AD$8,""))</f>
        <v/>
      </c>
      <c r="AE22" s="240" t="str">
        <f>IF(Major_Errors&gt;0,"",IF(Entrants!$Y30="X",AE$8,""))</f>
        <v/>
      </c>
      <c r="AF22" s="322">
        <f t="shared" si="3"/>
        <v>0</v>
      </c>
      <c r="AG22" s="324">
        <f t="shared" si="4"/>
        <v>0</v>
      </c>
    </row>
    <row r="23" spans="1:33" ht="13.5" x14ac:dyDescent="0.25">
      <c r="A23" s="191" t="str">
        <f t="shared" si="0"/>
        <v/>
      </c>
      <c r="B23" s="232">
        <f t="shared" si="1"/>
        <v>0</v>
      </c>
      <c r="C23" s="191">
        <f t="shared" si="2"/>
        <v>0</v>
      </c>
      <c r="D23" s="191"/>
      <c r="E23" s="239" t="str">
        <f>IF(Major_Errors&gt;0,"",IF(COUNTBLANK(Entrants!B31)=0,'Entrant Data'!E18,""))</f>
        <v/>
      </c>
      <c r="F23" s="21" t="str">
        <f>IF(Major_Errors&gt;0,"",IF(COUNTBLANK(Entrants!C31)=0,'Entrant Data'!F18,""))</f>
        <v/>
      </c>
      <c r="G23" s="25" t="str">
        <f>IF(Major_Errors&gt;0,"",IF(COUNTBLANK(Entrants!D31)=0,Entrants!D31,""))</f>
        <v/>
      </c>
      <c r="H23" s="23" t="str">
        <f>IF(Major_Errors&gt;0,"",IF(COUNTBLANK(Entrants!E31)=0,Entrants!E31,""))</f>
        <v/>
      </c>
      <c r="I23" s="23"/>
      <c r="J23" s="23" t="str">
        <f>IF(Major_Errors&gt;0,"",IF(COUNTBLANK(Entrants!G31)=0,Entrants!G31,""))</f>
        <v/>
      </c>
      <c r="K23" s="23" t="str">
        <f>IF(Major_Errors&gt;0,"",IF(Entrants!H31="y","Y",IF(Entrants!H31="n","N",IF(COUNTBLANK(Entrants!H31)=0,Entrants!H31,""))))</f>
        <v/>
      </c>
      <c r="L23" s="23" t="str">
        <f>IF(Major_Errors&gt;0,"",IF(COUNTBLANK(Entrants!J31)=0,Entrants!E72,""))</f>
        <v/>
      </c>
      <c r="M23" s="23" t="str">
        <f>IF(Major_Errors&gt;0,"",IF(COUNTBLANK(Entrants!K31)=0,"R",""))</f>
        <v/>
      </c>
      <c r="N23" s="23" t="str">
        <f>IF(Major_Errors&gt;0,"",IF(COUNTBLANK(E23)=1,"",IF(Entrants!L31="x","X","")))</f>
        <v/>
      </c>
      <c r="O23" s="23" t="str">
        <f>IF(Major_Errors&gt;0,"",IF(COUNTBLANK(E23)=1,"",IF(Entrants!L31="n","N","")))</f>
        <v/>
      </c>
      <c r="P23" s="29" t="str">
        <f>IF(Major_Errors&gt;0,"",IF(COUNTBLANK(Entrants!M31)=0,P$8,""))</f>
        <v/>
      </c>
      <c r="Q23" s="29" t="str">
        <f>IF(Major_Errors&gt;0,"",IF(COUNTBLANK(Entrants!N31)=0,Q$8,""))</f>
        <v/>
      </c>
      <c r="R23" s="29" t="str">
        <f>IF(Major_Errors&gt;0,"",IF(COUNTBLANK(Entrants!O31)=0,R$8,""))</f>
        <v/>
      </c>
      <c r="S23" s="29" t="str">
        <f>IF(Major_Errors&gt;0,"",IF(COUNTBLANK(Entrants!P31)=0,S$8,""))</f>
        <v/>
      </c>
      <c r="T23" s="29" t="str">
        <f>IF(Major_Errors&gt;0,"",IF(COUNTBLANK(Entrants!Q31)=0,T$8,""))</f>
        <v/>
      </c>
      <c r="U23" s="29" t="str">
        <f>IF(Major_Errors&gt;0,"",IF(COUNTBLANK(Entrants!R31)=0,U$8,""))</f>
        <v/>
      </c>
      <c r="V23" s="29" t="str">
        <f>IF(Major_Errors&gt;0,"",IF(Entrants!S31="Open",V$8,""))</f>
        <v/>
      </c>
      <c r="W23" s="29" t="str">
        <f>IF(Major_Errors&gt;0,"",IF(Entrants!S31="Sporter",V$8,""))</f>
        <v/>
      </c>
      <c r="X23" s="21" t="str">
        <f>IF(Major_Errors&gt;0,"",IF(COUNTBLANK(Entrants!U31)=0,Entrants!U31,""))</f>
        <v/>
      </c>
      <c r="Y23" s="29" t="str">
        <f>IF(Major_Errors&gt;0,"",IF(COUNTBLANK(Entrants!V31)=0,Y$8,""))</f>
        <v/>
      </c>
      <c r="Z23" s="29" t="str">
        <f>IF(Major_Errors&gt;0,"",IF(COUNTBLANK(Entrants!W31)=0,Y$8,""))</f>
        <v/>
      </c>
      <c r="AA23" s="29" t="str">
        <f>IF(Major_Errors&gt;0,"",IF(OR(Entrants!X31="a",Entrants!X31="A"),AA$8,""))</f>
        <v/>
      </c>
      <c r="AB23" s="29" t="str">
        <f>IF(Major_Errors&gt;0,"",IF(OR(Entrants!X31="b",Entrants!X31="B"),AA$8,""))</f>
        <v/>
      </c>
      <c r="AC23" s="29" t="str">
        <f>IF(Major_Errors&gt;0,"",IF(Entrants!$Y31="A",AC$8,""))</f>
        <v/>
      </c>
      <c r="AD23" s="29" t="str">
        <f>IF(Major_Errors&gt;0,"",IF(Entrants!$Y31="B",AD$8,""))</f>
        <v/>
      </c>
      <c r="AE23" s="240" t="str">
        <f>IF(Major_Errors&gt;0,"",IF(Entrants!$Y31="X",AE$8,""))</f>
        <v/>
      </c>
      <c r="AF23" s="322">
        <f t="shared" si="3"/>
        <v>0</v>
      </c>
      <c r="AG23" s="324">
        <f t="shared" si="4"/>
        <v>0</v>
      </c>
    </row>
    <row r="24" spans="1:33" ht="13.5" x14ac:dyDescent="0.25">
      <c r="A24" s="191" t="str">
        <f t="shared" si="0"/>
        <v/>
      </c>
      <c r="B24" s="232">
        <f t="shared" si="1"/>
        <v>0</v>
      </c>
      <c r="C24" s="191">
        <f t="shared" si="2"/>
        <v>0</v>
      </c>
      <c r="D24" s="191"/>
      <c r="E24" s="239" t="str">
        <f>IF(Major_Errors&gt;0,"",IF(COUNTBLANK(Entrants!B32)=0,'Entrant Data'!E19,""))</f>
        <v/>
      </c>
      <c r="F24" s="21" t="str">
        <f>IF(Major_Errors&gt;0,"",IF(COUNTBLANK(Entrants!C32)=0,'Entrant Data'!F19,""))</f>
        <v/>
      </c>
      <c r="G24" s="25" t="str">
        <f>IF(Major_Errors&gt;0,"",IF(COUNTBLANK(Entrants!D32)=0,Entrants!D32,""))</f>
        <v/>
      </c>
      <c r="H24" s="23" t="str">
        <f>IF(Major_Errors&gt;0,"",IF(COUNTBLANK(Entrants!E32)=0,Entrants!E32,""))</f>
        <v/>
      </c>
      <c r="I24" s="23"/>
      <c r="J24" s="23" t="str">
        <f>IF(Major_Errors&gt;0,"",IF(COUNTBLANK(Entrants!G32)=0,Entrants!G32,""))</f>
        <v/>
      </c>
      <c r="K24" s="23" t="str">
        <f>IF(Major_Errors&gt;0,"",IF(Entrants!H32="y","Y",IF(Entrants!H32="n","N",IF(COUNTBLANK(Entrants!H32)=0,Entrants!H32,""))))</f>
        <v/>
      </c>
      <c r="L24" s="23" t="str">
        <f>IF(Major_Errors&gt;0,"",IF(COUNTBLANK(Entrants!J32)=0,Entrants!E73,""))</f>
        <v/>
      </c>
      <c r="M24" s="23" t="str">
        <f>IF(Major_Errors&gt;0,"",IF(COUNTBLANK(Entrants!K32)=0,"R",""))</f>
        <v/>
      </c>
      <c r="N24" s="23" t="str">
        <f>IF(Major_Errors&gt;0,"",IF(COUNTBLANK(E24)=1,"",IF(Entrants!L32="x","X","")))</f>
        <v/>
      </c>
      <c r="O24" s="23" t="str">
        <f>IF(Major_Errors&gt;0,"",IF(COUNTBLANK(E24)=1,"",IF(Entrants!L32="n","N","")))</f>
        <v/>
      </c>
      <c r="P24" s="29" t="str">
        <f>IF(Major_Errors&gt;0,"",IF(COUNTBLANK(Entrants!M32)=0,P$8,""))</f>
        <v/>
      </c>
      <c r="Q24" s="29" t="str">
        <f>IF(Major_Errors&gt;0,"",IF(COUNTBLANK(Entrants!N32)=0,Q$8,""))</f>
        <v/>
      </c>
      <c r="R24" s="29" t="str">
        <f>IF(Major_Errors&gt;0,"",IF(COUNTBLANK(Entrants!O32)=0,R$8,""))</f>
        <v/>
      </c>
      <c r="S24" s="29" t="str">
        <f>IF(Major_Errors&gt;0,"",IF(COUNTBLANK(Entrants!P32)=0,S$8,""))</f>
        <v/>
      </c>
      <c r="T24" s="29" t="str">
        <f>IF(Major_Errors&gt;0,"",IF(COUNTBLANK(Entrants!Q32)=0,T$8,""))</f>
        <v/>
      </c>
      <c r="U24" s="29" t="str">
        <f>IF(Major_Errors&gt;0,"",IF(COUNTBLANK(Entrants!R32)=0,U$8,""))</f>
        <v/>
      </c>
      <c r="V24" s="29" t="str">
        <f>IF(Major_Errors&gt;0,"",IF(Entrants!S32="Open",V$8,""))</f>
        <v/>
      </c>
      <c r="W24" s="29" t="str">
        <f>IF(Major_Errors&gt;0,"",IF(Entrants!S32="Sporter",V$8,""))</f>
        <v/>
      </c>
      <c r="X24" s="21" t="str">
        <f>IF(Major_Errors&gt;0,"",IF(COUNTBLANK(Entrants!U32)=0,Entrants!U32,""))</f>
        <v/>
      </c>
      <c r="Y24" s="29" t="str">
        <f>IF(Major_Errors&gt;0,"",IF(COUNTBLANK(Entrants!V32)=0,Y$8,""))</f>
        <v/>
      </c>
      <c r="Z24" s="29" t="str">
        <f>IF(Major_Errors&gt;0,"",IF(COUNTBLANK(Entrants!W32)=0,Y$8,""))</f>
        <v/>
      </c>
      <c r="AA24" s="29" t="str">
        <f>IF(Major_Errors&gt;0,"",IF(OR(Entrants!X32="a",Entrants!X32="A"),AA$8,""))</f>
        <v/>
      </c>
      <c r="AB24" s="29" t="str">
        <f>IF(Major_Errors&gt;0,"",IF(OR(Entrants!X32="b",Entrants!X32="B"),AA$8,""))</f>
        <v/>
      </c>
      <c r="AC24" s="29" t="str">
        <f>IF(Major_Errors&gt;0,"",IF(Entrants!$Y32="A",AC$8,""))</f>
        <v/>
      </c>
      <c r="AD24" s="29" t="str">
        <f>IF(Major_Errors&gt;0,"",IF(Entrants!$Y32="B",AD$8,""))</f>
        <v/>
      </c>
      <c r="AE24" s="240" t="str">
        <f>IF(Major_Errors&gt;0,"",IF(Entrants!$Y32="X",AE$8,""))</f>
        <v/>
      </c>
      <c r="AF24" s="322">
        <f t="shared" si="3"/>
        <v>0</v>
      </c>
      <c r="AG24" s="324">
        <f t="shared" si="4"/>
        <v>0</v>
      </c>
    </row>
    <row r="25" spans="1:33" ht="13.5" x14ac:dyDescent="0.25">
      <c r="A25" s="191" t="str">
        <f t="shared" si="0"/>
        <v/>
      </c>
      <c r="B25" s="232">
        <f t="shared" si="1"/>
        <v>0</v>
      </c>
      <c r="C25" s="191">
        <f t="shared" si="2"/>
        <v>0</v>
      </c>
      <c r="D25" s="191"/>
      <c r="E25" s="239" t="str">
        <f>IF(Major_Errors&gt;0,"",IF(COUNTBLANK(Entrants!B33)=0,'Entrant Data'!E20,""))</f>
        <v/>
      </c>
      <c r="F25" s="21" t="str">
        <f>IF(Major_Errors&gt;0,"",IF(COUNTBLANK(Entrants!C33)=0,'Entrant Data'!F20,""))</f>
        <v/>
      </c>
      <c r="G25" s="25" t="str">
        <f>IF(Major_Errors&gt;0,"",IF(COUNTBLANK(Entrants!D33)=0,Entrants!D33,""))</f>
        <v/>
      </c>
      <c r="H25" s="23" t="str">
        <f>IF(Major_Errors&gt;0,"",IF(COUNTBLANK(Entrants!E33)=0,Entrants!E33,""))</f>
        <v/>
      </c>
      <c r="I25" s="23"/>
      <c r="J25" s="23" t="str">
        <f>IF(Major_Errors&gt;0,"",IF(COUNTBLANK(Entrants!G33)=0,Entrants!G33,""))</f>
        <v/>
      </c>
      <c r="K25" s="23" t="str">
        <f>IF(Major_Errors&gt;0,"",IF(Entrants!H33="y","Y",IF(Entrants!H33="n","N",IF(COUNTBLANK(Entrants!H33)=0,Entrants!H33,""))))</f>
        <v/>
      </c>
      <c r="L25" s="23" t="str">
        <f>IF(Major_Errors&gt;0,"",IF(COUNTBLANK(Entrants!J33)=0,Entrants!E74,""))</f>
        <v/>
      </c>
      <c r="M25" s="23" t="str">
        <f>IF(Major_Errors&gt;0,"",IF(COUNTBLANK(Entrants!K33)=0,"R",""))</f>
        <v/>
      </c>
      <c r="N25" s="23" t="str">
        <f>IF(Major_Errors&gt;0,"",IF(COUNTBLANK(E25)=1,"",IF(Entrants!L33="x","X","")))</f>
        <v/>
      </c>
      <c r="O25" s="23" t="str">
        <f>IF(Major_Errors&gt;0,"",IF(COUNTBLANK(E25)=1,"",IF(Entrants!L33="n","N","")))</f>
        <v/>
      </c>
      <c r="P25" s="29" t="str">
        <f>IF(Major_Errors&gt;0,"",IF(COUNTBLANK(Entrants!M33)=0,P$8,""))</f>
        <v/>
      </c>
      <c r="Q25" s="29" t="str">
        <f>IF(Major_Errors&gt;0,"",IF(COUNTBLANK(Entrants!N33)=0,Q$8,""))</f>
        <v/>
      </c>
      <c r="R25" s="29" t="str">
        <f>IF(Major_Errors&gt;0,"",IF(COUNTBLANK(Entrants!O33)=0,R$8,""))</f>
        <v/>
      </c>
      <c r="S25" s="29" t="str">
        <f>IF(Major_Errors&gt;0,"",IF(COUNTBLANK(Entrants!P33)=0,S$8,""))</f>
        <v/>
      </c>
      <c r="T25" s="29" t="str">
        <f>IF(Major_Errors&gt;0,"",IF(COUNTBLANK(Entrants!Q33)=0,T$8,""))</f>
        <v/>
      </c>
      <c r="U25" s="29" t="str">
        <f>IF(Major_Errors&gt;0,"",IF(COUNTBLANK(Entrants!R33)=0,U$8,""))</f>
        <v/>
      </c>
      <c r="V25" s="29" t="str">
        <f>IF(Major_Errors&gt;0,"",IF(Entrants!S33="Open",V$8,""))</f>
        <v/>
      </c>
      <c r="W25" s="29" t="str">
        <f>IF(Major_Errors&gt;0,"",IF(Entrants!S33="Sporter",V$8,""))</f>
        <v/>
      </c>
      <c r="X25" s="21" t="str">
        <f>IF(Major_Errors&gt;0,"",IF(COUNTBLANK(Entrants!U33)=0,Entrants!U33,""))</f>
        <v/>
      </c>
      <c r="Y25" s="29" t="str">
        <f>IF(Major_Errors&gt;0,"",IF(COUNTBLANK(Entrants!V33)=0,Y$8,""))</f>
        <v/>
      </c>
      <c r="Z25" s="29" t="str">
        <f>IF(Major_Errors&gt;0,"",IF(COUNTBLANK(Entrants!W33)=0,Y$8,""))</f>
        <v/>
      </c>
      <c r="AA25" s="29" t="str">
        <f>IF(Major_Errors&gt;0,"",IF(OR(Entrants!X33="a",Entrants!X33="A"),AA$8,""))</f>
        <v/>
      </c>
      <c r="AB25" s="29" t="str">
        <f>IF(Major_Errors&gt;0,"",IF(OR(Entrants!X33="b",Entrants!X33="B"),AA$8,""))</f>
        <v/>
      </c>
      <c r="AC25" s="29" t="str">
        <f>IF(Major_Errors&gt;0,"",IF(Entrants!$Y33="A",AC$8,""))</f>
        <v/>
      </c>
      <c r="AD25" s="29" t="str">
        <f>IF(Major_Errors&gt;0,"",IF(Entrants!$Y33="B",AD$8,""))</f>
        <v/>
      </c>
      <c r="AE25" s="240" t="str">
        <f>IF(Major_Errors&gt;0,"",IF(Entrants!$Y33="X",AE$8,""))</f>
        <v/>
      </c>
      <c r="AF25" s="322">
        <f t="shared" si="3"/>
        <v>0</v>
      </c>
      <c r="AG25" s="324">
        <f t="shared" si="4"/>
        <v>0</v>
      </c>
    </row>
    <row r="26" spans="1:33" ht="13.5" x14ac:dyDescent="0.25">
      <c r="A26" s="191" t="str">
        <f t="shared" si="0"/>
        <v/>
      </c>
      <c r="B26" s="232">
        <f t="shared" si="1"/>
        <v>0</v>
      </c>
      <c r="C26" s="191">
        <f t="shared" si="2"/>
        <v>0</v>
      </c>
      <c r="D26" s="191"/>
      <c r="E26" s="239" t="str">
        <f>IF(Major_Errors&gt;0,"",IF(COUNTBLANK(Entrants!B34)=0,'Entrant Data'!E21,""))</f>
        <v/>
      </c>
      <c r="F26" s="21" t="str">
        <f>IF(Major_Errors&gt;0,"",IF(COUNTBLANK(Entrants!C34)=0,'Entrant Data'!F21,""))</f>
        <v/>
      </c>
      <c r="G26" s="25" t="str">
        <f>IF(Major_Errors&gt;0,"",IF(COUNTBLANK(Entrants!D34)=0,Entrants!D34,""))</f>
        <v/>
      </c>
      <c r="H26" s="23" t="str">
        <f>IF(Major_Errors&gt;0,"",IF(COUNTBLANK(Entrants!E34)=0,Entrants!E34,""))</f>
        <v/>
      </c>
      <c r="I26" s="23"/>
      <c r="J26" s="23" t="str">
        <f>IF(Major_Errors&gt;0,"",IF(COUNTBLANK(Entrants!G34)=0,Entrants!G34,""))</f>
        <v/>
      </c>
      <c r="K26" s="23" t="str">
        <f>IF(Major_Errors&gt;0,"",IF(Entrants!H34="y","Y",IF(Entrants!H34="n","N",IF(COUNTBLANK(Entrants!H34)=0,Entrants!H34,""))))</f>
        <v/>
      </c>
      <c r="L26" s="23" t="str">
        <f>IF(Major_Errors&gt;0,"",IF(COUNTBLANK(Entrants!J34)=0,Entrants!E75,""))</f>
        <v/>
      </c>
      <c r="M26" s="23" t="str">
        <f>IF(Major_Errors&gt;0,"",IF(COUNTBLANK(Entrants!K34)=0,"R",""))</f>
        <v/>
      </c>
      <c r="N26" s="23" t="str">
        <f>IF(Major_Errors&gt;0,"",IF(COUNTBLANK(E26)=1,"",IF(Entrants!L34="x","X","")))</f>
        <v/>
      </c>
      <c r="O26" s="23" t="str">
        <f>IF(Major_Errors&gt;0,"",IF(COUNTBLANK(E26)=1,"",IF(Entrants!L34="n","N","")))</f>
        <v/>
      </c>
      <c r="P26" s="29" t="str">
        <f>IF(Major_Errors&gt;0,"",IF(COUNTBLANK(Entrants!M34)=0,P$8,""))</f>
        <v/>
      </c>
      <c r="Q26" s="29" t="str">
        <f>IF(Major_Errors&gt;0,"",IF(COUNTBLANK(Entrants!N34)=0,Q$8,""))</f>
        <v/>
      </c>
      <c r="R26" s="29" t="str">
        <f>IF(Major_Errors&gt;0,"",IF(COUNTBLANK(Entrants!O34)=0,R$8,""))</f>
        <v/>
      </c>
      <c r="S26" s="29" t="str">
        <f>IF(Major_Errors&gt;0,"",IF(COUNTBLANK(Entrants!P34)=0,S$8,""))</f>
        <v/>
      </c>
      <c r="T26" s="29" t="str">
        <f>IF(Major_Errors&gt;0,"",IF(COUNTBLANK(Entrants!Q34)=0,T$8,""))</f>
        <v/>
      </c>
      <c r="U26" s="29" t="str">
        <f>IF(Major_Errors&gt;0,"",IF(COUNTBLANK(Entrants!R34)=0,U$8,""))</f>
        <v/>
      </c>
      <c r="V26" s="29" t="str">
        <f>IF(Major_Errors&gt;0,"",IF(Entrants!S34="Open",V$8,""))</f>
        <v/>
      </c>
      <c r="W26" s="29" t="str">
        <f>IF(Major_Errors&gt;0,"",IF(Entrants!S34="Sporter",V$8,""))</f>
        <v/>
      </c>
      <c r="X26" s="21" t="str">
        <f>IF(Major_Errors&gt;0,"",IF(COUNTBLANK(Entrants!U34)=0,Entrants!U34,""))</f>
        <v/>
      </c>
      <c r="Y26" s="29" t="str">
        <f>IF(Major_Errors&gt;0,"",IF(COUNTBLANK(Entrants!V34)=0,Y$8,""))</f>
        <v/>
      </c>
      <c r="Z26" s="29" t="str">
        <f>IF(Major_Errors&gt;0,"",IF(COUNTBLANK(Entrants!W34)=0,Y$8,""))</f>
        <v/>
      </c>
      <c r="AA26" s="29" t="str">
        <f>IF(Major_Errors&gt;0,"",IF(OR(Entrants!X34="a",Entrants!X34="A"),AA$8,""))</f>
        <v/>
      </c>
      <c r="AB26" s="29" t="str">
        <f>IF(Major_Errors&gt;0,"",IF(OR(Entrants!X34="b",Entrants!X34="B"),AA$8,""))</f>
        <v/>
      </c>
      <c r="AC26" s="29" t="str">
        <f>IF(Major_Errors&gt;0,"",IF(Entrants!$Y34="A",AC$8,""))</f>
        <v/>
      </c>
      <c r="AD26" s="29" t="str">
        <f>IF(Major_Errors&gt;0,"",IF(Entrants!$Y34="B",AD$8,""))</f>
        <v/>
      </c>
      <c r="AE26" s="240" t="str">
        <f>IF(Major_Errors&gt;0,"",IF(Entrants!$Y34="X",AE$8,""))</f>
        <v/>
      </c>
      <c r="AF26" s="322">
        <f t="shared" si="3"/>
        <v>0</v>
      </c>
      <c r="AG26" s="324">
        <f t="shared" si="4"/>
        <v>0</v>
      </c>
    </row>
    <row r="27" spans="1:33" ht="13.5" x14ac:dyDescent="0.25">
      <c r="A27" s="191" t="str">
        <f t="shared" si="0"/>
        <v/>
      </c>
      <c r="B27" s="232">
        <f t="shared" si="1"/>
        <v>0</v>
      </c>
      <c r="C27" s="191">
        <f t="shared" si="2"/>
        <v>0</v>
      </c>
      <c r="D27" s="191"/>
      <c r="E27" s="239" t="str">
        <f>IF(Major_Errors&gt;0,"",IF(COUNTBLANK(Entrants!B35)=0,'Entrant Data'!E22,""))</f>
        <v/>
      </c>
      <c r="F27" s="21" t="str">
        <f>IF(Major_Errors&gt;0,"",IF(COUNTBLANK(Entrants!C35)=0,'Entrant Data'!F22,""))</f>
        <v/>
      </c>
      <c r="G27" s="25" t="str">
        <f>IF(Major_Errors&gt;0,"",IF(COUNTBLANK(Entrants!D35)=0,Entrants!D35,""))</f>
        <v/>
      </c>
      <c r="H27" s="23" t="str">
        <f>IF(Major_Errors&gt;0,"",IF(COUNTBLANK(Entrants!E35)=0,Entrants!E35,""))</f>
        <v/>
      </c>
      <c r="I27" s="23"/>
      <c r="J27" s="23" t="str">
        <f>IF(Major_Errors&gt;0,"",IF(COUNTBLANK(Entrants!G35)=0,Entrants!G35,""))</f>
        <v/>
      </c>
      <c r="K27" s="23" t="str">
        <f>IF(Major_Errors&gt;0,"",IF(Entrants!H35="y","Y",IF(Entrants!H35="n","N",IF(COUNTBLANK(Entrants!H35)=0,Entrants!H35,""))))</f>
        <v/>
      </c>
      <c r="L27" s="23" t="str">
        <f>IF(Major_Errors&gt;0,"",IF(COUNTBLANK(Entrants!J35)=0,Entrants!E76,""))</f>
        <v/>
      </c>
      <c r="M27" s="23" t="str">
        <f>IF(Major_Errors&gt;0,"",IF(COUNTBLANK(Entrants!K35)=0,"R",""))</f>
        <v/>
      </c>
      <c r="N27" s="23" t="str">
        <f>IF(Major_Errors&gt;0,"",IF(COUNTBLANK(E27)=1,"",IF(Entrants!L35="x","X","")))</f>
        <v/>
      </c>
      <c r="O27" s="23" t="str">
        <f>IF(Major_Errors&gt;0,"",IF(COUNTBLANK(E27)=1,"",IF(Entrants!L35="n","N","")))</f>
        <v/>
      </c>
      <c r="P27" s="29" t="str">
        <f>IF(Major_Errors&gt;0,"",IF(COUNTBLANK(Entrants!M35)=0,P$8,""))</f>
        <v/>
      </c>
      <c r="Q27" s="29" t="str">
        <f>IF(Major_Errors&gt;0,"",IF(COUNTBLANK(Entrants!N35)=0,Q$8,""))</f>
        <v/>
      </c>
      <c r="R27" s="29" t="str">
        <f>IF(Major_Errors&gt;0,"",IF(COUNTBLANK(Entrants!O35)=0,R$8,""))</f>
        <v/>
      </c>
      <c r="S27" s="29" t="str">
        <f>IF(Major_Errors&gt;0,"",IF(COUNTBLANK(Entrants!P35)=0,S$8,""))</f>
        <v/>
      </c>
      <c r="T27" s="29" t="str">
        <f>IF(Major_Errors&gt;0,"",IF(COUNTBLANK(Entrants!Q35)=0,T$8,""))</f>
        <v/>
      </c>
      <c r="U27" s="29" t="str">
        <f>IF(Major_Errors&gt;0,"",IF(COUNTBLANK(Entrants!R35)=0,U$8,""))</f>
        <v/>
      </c>
      <c r="V27" s="29" t="str">
        <f>IF(Major_Errors&gt;0,"",IF(Entrants!S35="Open",V$8,""))</f>
        <v/>
      </c>
      <c r="W27" s="29" t="str">
        <f>IF(Major_Errors&gt;0,"",IF(Entrants!S35="Sporter",V$8,""))</f>
        <v/>
      </c>
      <c r="X27" s="21" t="str">
        <f>IF(Major_Errors&gt;0,"",IF(COUNTBLANK(Entrants!U35)=0,Entrants!U35,""))</f>
        <v/>
      </c>
      <c r="Y27" s="29" t="str">
        <f>IF(Major_Errors&gt;0,"",IF(COUNTBLANK(Entrants!V35)=0,Y$8,""))</f>
        <v/>
      </c>
      <c r="Z27" s="29" t="str">
        <f>IF(Major_Errors&gt;0,"",IF(COUNTBLANK(Entrants!W35)=0,Y$8,""))</f>
        <v/>
      </c>
      <c r="AA27" s="29" t="str">
        <f>IF(Major_Errors&gt;0,"",IF(OR(Entrants!X35="a",Entrants!X35="A"),AA$8,""))</f>
        <v/>
      </c>
      <c r="AB27" s="29" t="str">
        <f>IF(Major_Errors&gt;0,"",IF(OR(Entrants!X35="b",Entrants!X35="B"),AA$8,""))</f>
        <v/>
      </c>
      <c r="AC27" s="29" t="str">
        <f>IF(Major_Errors&gt;0,"",IF(Entrants!$Y35="A",AC$8,""))</f>
        <v/>
      </c>
      <c r="AD27" s="29" t="str">
        <f>IF(Major_Errors&gt;0,"",IF(Entrants!$Y35="B",AD$8,""))</f>
        <v/>
      </c>
      <c r="AE27" s="240" t="str">
        <f>IF(Major_Errors&gt;0,"",IF(Entrants!$Y35="X",AE$8,""))</f>
        <v/>
      </c>
      <c r="AF27" s="322">
        <f t="shared" si="3"/>
        <v>0</v>
      </c>
      <c r="AG27" s="324">
        <f t="shared" si="4"/>
        <v>0</v>
      </c>
    </row>
    <row r="28" spans="1:33" ht="13.5" x14ac:dyDescent="0.25">
      <c r="A28" s="191" t="str">
        <f t="shared" si="0"/>
        <v/>
      </c>
      <c r="B28" s="232">
        <f t="shared" si="1"/>
        <v>0</v>
      </c>
      <c r="C28" s="191">
        <f t="shared" si="2"/>
        <v>0</v>
      </c>
      <c r="D28" s="191"/>
      <c r="E28" s="239" t="str">
        <f>IF(Major_Errors&gt;0,"",IF(COUNTBLANK(Entrants!B36)=0,'Entrant Data'!E23,""))</f>
        <v/>
      </c>
      <c r="F28" s="21" t="str">
        <f>IF(Major_Errors&gt;0,"",IF(COUNTBLANK(Entrants!C36)=0,'Entrant Data'!F23,""))</f>
        <v/>
      </c>
      <c r="G28" s="25" t="str">
        <f>IF(Major_Errors&gt;0,"",IF(COUNTBLANK(Entrants!D36)=0,Entrants!D36,""))</f>
        <v/>
      </c>
      <c r="H28" s="23" t="str">
        <f>IF(Major_Errors&gt;0,"",IF(COUNTBLANK(Entrants!E36)=0,Entrants!E36,""))</f>
        <v/>
      </c>
      <c r="I28" s="23"/>
      <c r="J28" s="23" t="str">
        <f>IF(Major_Errors&gt;0,"",IF(COUNTBLANK(Entrants!G36)=0,Entrants!G36,""))</f>
        <v/>
      </c>
      <c r="K28" s="23" t="str">
        <f>IF(Major_Errors&gt;0,"",IF(Entrants!H36="y","Y",IF(Entrants!H36="n","N",IF(COUNTBLANK(Entrants!H36)=0,Entrants!H36,""))))</f>
        <v/>
      </c>
      <c r="L28" s="23" t="str">
        <f>IF(Major_Errors&gt;0,"",IF(COUNTBLANK(Entrants!J36)=0,Entrants!E77,""))</f>
        <v/>
      </c>
      <c r="M28" s="23" t="str">
        <f>IF(Major_Errors&gt;0,"",IF(COUNTBLANK(Entrants!K36)=0,"R",""))</f>
        <v/>
      </c>
      <c r="N28" s="23" t="str">
        <f>IF(Major_Errors&gt;0,"",IF(COUNTBLANK(E28)=1,"",IF(Entrants!L36="x","X","")))</f>
        <v/>
      </c>
      <c r="O28" s="23" t="str">
        <f>IF(Major_Errors&gt;0,"",IF(COUNTBLANK(E28)=1,"",IF(Entrants!L36="n","N","")))</f>
        <v/>
      </c>
      <c r="P28" s="29" t="str">
        <f>IF(Major_Errors&gt;0,"",IF(COUNTBLANK(Entrants!M36)=0,P$8,""))</f>
        <v/>
      </c>
      <c r="Q28" s="29" t="str">
        <f>IF(Major_Errors&gt;0,"",IF(COUNTBLANK(Entrants!N36)=0,Q$8,""))</f>
        <v/>
      </c>
      <c r="R28" s="29" t="str">
        <f>IF(Major_Errors&gt;0,"",IF(COUNTBLANK(Entrants!O36)=0,R$8,""))</f>
        <v/>
      </c>
      <c r="S28" s="29" t="str">
        <f>IF(Major_Errors&gt;0,"",IF(COUNTBLANK(Entrants!P36)=0,S$8,""))</f>
        <v/>
      </c>
      <c r="T28" s="29" t="str">
        <f>IF(Major_Errors&gt;0,"",IF(COUNTBLANK(Entrants!Q36)=0,T$8,""))</f>
        <v/>
      </c>
      <c r="U28" s="29" t="str">
        <f>IF(Major_Errors&gt;0,"",IF(COUNTBLANK(Entrants!R36)=0,U$8,""))</f>
        <v/>
      </c>
      <c r="V28" s="29" t="str">
        <f>IF(Major_Errors&gt;0,"",IF(Entrants!S36="Open",V$8,""))</f>
        <v/>
      </c>
      <c r="W28" s="29" t="str">
        <f>IF(Major_Errors&gt;0,"",IF(Entrants!S36="Sporter",V$8,""))</f>
        <v/>
      </c>
      <c r="X28" s="21" t="str">
        <f>IF(Major_Errors&gt;0,"",IF(COUNTBLANK(Entrants!U36)=0,Entrants!U36,""))</f>
        <v/>
      </c>
      <c r="Y28" s="29" t="str">
        <f>IF(Major_Errors&gt;0,"",IF(COUNTBLANK(Entrants!V36)=0,Y$8,""))</f>
        <v/>
      </c>
      <c r="Z28" s="29" t="str">
        <f>IF(Major_Errors&gt;0,"",IF(COUNTBLANK(Entrants!W36)=0,Y$8,""))</f>
        <v/>
      </c>
      <c r="AA28" s="29" t="str">
        <f>IF(Major_Errors&gt;0,"",IF(OR(Entrants!X36="a",Entrants!X36="A"),AA$8,""))</f>
        <v/>
      </c>
      <c r="AB28" s="29" t="str">
        <f>IF(Major_Errors&gt;0,"",IF(OR(Entrants!X36="b",Entrants!X36="B"),AA$8,""))</f>
        <v/>
      </c>
      <c r="AC28" s="29" t="str">
        <f>IF(Major_Errors&gt;0,"",IF(Entrants!$Y36="A",AC$8,""))</f>
        <v/>
      </c>
      <c r="AD28" s="29" t="str">
        <f>IF(Major_Errors&gt;0,"",IF(Entrants!$Y36="B",AD$8,""))</f>
        <v/>
      </c>
      <c r="AE28" s="240" t="str">
        <f>IF(Major_Errors&gt;0,"",IF(Entrants!$Y36="X",AE$8,""))</f>
        <v/>
      </c>
      <c r="AF28" s="322">
        <f t="shared" si="3"/>
        <v>0</v>
      </c>
      <c r="AG28" s="324">
        <f t="shared" si="4"/>
        <v>0</v>
      </c>
    </row>
    <row r="29" spans="1:33" ht="13.5" x14ac:dyDescent="0.25">
      <c r="A29" s="191" t="str">
        <f t="shared" si="0"/>
        <v/>
      </c>
      <c r="B29" s="232">
        <f t="shared" si="1"/>
        <v>0</v>
      </c>
      <c r="C29" s="191">
        <f t="shared" si="2"/>
        <v>0</v>
      </c>
      <c r="D29" s="191"/>
      <c r="E29" s="239" t="str">
        <f>IF(Major_Errors&gt;0,"",IF(COUNTBLANK(Entrants!B37)=0,'Entrant Data'!E24,""))</f>
        <v/>
      </c>
      <c r="F29" s="21" t="str">
        <f>IF(Major_Errors&gt;0,"",IF(COUNTBLANK(Entrants!C37)=0,'Entrant Data'!F24,""))</f>
        <v/>
      </c>
      <c r="G29" s="25" t="str">
        <f>IF(Major_Errors&gt;0,"",IF(COUNTBLANK(Entrants!D37)=0,Entrants!D37,""))</f>
        <v/>
      </c>
      <c r="H29" s="23" t="str">
        <f>IF(Major_Errors&gt;0,"",IF(COUNTBLANK(Entrants!E37)=0,Entrants!E37,""))</f>
        <v/>
      </c>
      <c r="I29" s="23"/>
      <c r="J29" s="23" t="str">
        <f>IF(Major_Errors&gt;0,"",IF(COUNTBLANK(Entrants!G37)=0,Entrants!G37,""))</f>
        <v/>
      </c>
      <c r="K29" s="23" t="str">
        <f>IF(Major_Errors&gt;0,"",IF(Entrants!H37="y","Y",IF(Entrants!H37="n","N",IF(COUNTBLANK(Entrants!H37)=0,Entrants!H37,""))))</f>
        <v/>
      </c>
      <c r="L29" s="23" t="str">
        <f>IF(Major_Errors&gt;0,"",IF(COUNTBLANK(Entrants!J37)=0,Entrants!E78,""))</f>
        <v/>
      </c>
      <c r="M29" s="23" t="str">
        <f>IF(Major_Errors&gt;0,"",IF(COUNTBLANK(Entrants!K37)=0,"R",""))</f>
        <v/>
      </c>
      <c r="N29" s="23" t="str">
        <f>IF(Major_Errors&gt;0,"",IF(COUNTBLANK(E29)=1,"",IF(Entrants!L37="x","X","")))</f>
        <v/>
      </c>
      <c r="O29" s="23" t="str">
        <f>IF(Major_Errors&gt;0,"",IF(COUNTBLANK(E29)=1,"",IF(Entrants!L37="n","N","")))</f>
        <v/>
      </c>
      <c r="P29" s="29" t="str">
        <f>IF(Major_Errors&gt;0,"",IF(COUNTBLANK(Entrants!M37)=0,P$8,""))</f>
        <v/>
      </c>
      <c r="Q29" s="29" t="str">
        <f>IF(Major_Errors&gt;0,"",IF(COUNTBLANK(Entrants!N37)=0,Q$8,""))</f>
        <v/>
      </c>
      <c r="R29" s="29" t="str">
        <f>IF(Major_Errors&gt;0,"",IF(COUNTBLANK(Entrants!O37)=0,R$8,""))</f>
        <v/>
      </c>
      <c r="S29" s="29" t="str">
        <f>IF(Major_Errors&gt;0,"",IF(COUNTBLANK(Entrants!P37)=0,S$8,""))</f>
        <v/>
      </c>
      <c r="T29" s="29" t="str">
        <f>IF(Major_Errors&gt;0,"",IF(COUNTBLANK(Entrants!Q37)=0,T$8,""))</f>
        <v/>
      </c>
      <c r="U29" s="29" t="str">
        <f>IF(Major_Errors&gt;0,"",IF(COUNTBLANK(Entrants!R37)=0,U$8,""))</f>
        <v/>
      </c>
      <c r="V29" s="29" t="str">
        <f>IF(Major_Errors&gt;0,"",IF(Entrants!S37="Open",V$8,""))</f>
        <v/>
      </c>
      <c r="W29" s="29" t="str">
        <f>IF(Major_Errors&gt;0,"",IF(Entrants!S37="Sporter",V$8,""))</f>
        <v/>
      </c>
      <c r="X29" s="21" t="str">
        <f>IF(Major_Errors&gt;0,"",IF(COUNTBLANK(Entrants!U37)=0,Entrants!U37,""))</f>
        <v/>
      </c>
      <c r="Y29" s="29" t="str">
        <f>IF(Major_Errors&gt;0,"",IF(COUNTBLANK(Entrants!V37)=0,Y$8,""))</f>
        <v/>
      </c>
      <c r="Z29" s="29" t="str">
        <f>IF(Major_Errors&gt;0,"",IF(COUNTBLANK(Entrants!W37)=0,Y$8,""))</f>
        <v/>
      </c>
      <c r="AA29" s="29" t="str">
        <f>IF(Major_Errors&gt;0,"",IF(OR(Entrants!X37="a",Entrants!X37="A"),AA$8,""))</f>
        <v/>
      </c>
      <c r="AB29" s="29" t="str">
        <f>IF(Major_Errors&gt;0,"",IF(OR(Entrants!X37="b",Entrants!X37="B"),AA$8,""))</f>
        <v/>
      </c>
      <c r="AC29" s="29" t="str">
        <f>IF(Major_Errors&gt;0,"",IF(Entrants!$Y37="A",AC$8,""))</f>
        <v/>
      </c>
      <c r="AD29" s="29" t="str">
        <f>IF(Major_Errors&gt;0,"",IF(Entrants!$Y37="B",AD$8,""))</f>
        <v/>
      </c>
      <c r="AE29" s="240" t="str">
        <f>IF(Major_Errors&gt;0,"",IF(Entrants!$Y37="X",AE$8,""))</f>
        <v/>
      </c>
      <c r="AF29" s="322">
        <f t="shared" si="3"/>
        <v>0</v>
      </c>
      <c r="AG29" s="324">
        <f t="shared" si="4"/>
        <v>0</v>
      </c>
    </row>
    <row r="30" spans="1:33" ht="13.5" x14ac:dyDescent="0.25">
      <c r="A30" s="191" t="str">
        <f t="shared" si="0"/>
        <v/>
      </c>
      <c r="B30" s="232">
        <f t="shared" si="1"/>
        <v>0</v>
      </c>
      <c r="C30" s="191">
        <f t="shared" si="2"/>
        <v>0</v>
      </c>
      <c r="D30" s="191"/>
      <c r="E30" s="239" t="str">
        <f>IF(Major_Errors&gt;0,"",IF(COUNTBLANK(Entrants!B38)=0,'Entrant Data'!E25,""))</f>
        <v/>
      </c>
      <c r="F30" s="21" t="str">
        <f>IF(Major_Errors&gt;0,"",IF(COUNTBLANK(Entrants!C38)=0,'Entrant Data'!F25,""))</f>
        <v/>
      </c>
      <c r="G30" s="25" t="str">
        <f>IF(Major_Errors&gt;0,"",IF(COUNTBLANK(Entrants!D38)=0,Entrants!D38,""))</f>
        <v/>
      </c>
      <c r="H30" s="23" t="str">
        <f>IF(Major_Errors&gt;0,"",IF(COUNTBLANK(Entrants!E38)=0,Entrants!E38,""))</f>
        <v/>
      </c>
      <c r="I30" s="23"/>
      <c r="J30" s="23" t="str">
        <f>IF(Major_Errors&gt;0,"",IF(COUNTBLANK(Entrants!G38)=0,Entrants!G38,""))</f>
        <v/>
      </c>
      <c r="K30" s="23" t="str">
        <f>IF(Major_Errors&gt;0,"",IF(Entrants!H38="y","Y",IF(Entrants!H38="n","N",IF(COUNTBLANK(Entrants!H38)=0,Entrants!H38,""))))</f>
        <v/>
      </c>
      <c r="L30" s="23" t="str">
        <f>IF(Major_Errors&gt;0,"",IF(COUNTBLANK(Entrants!J38)=0,Entrants!E79,""))</f>
        <v/>
      </c>
      <c r="M30" s="23" t="str">
        <f>IF(Major_Errors&gt;0,"",IF(COUNTBLANK(Entrants!K38)=0,"R",""))</f>
        <v/>
      </c>
      <c r="N30" s="23" t="str">
        <f>IF(Major_Errors&gt;0,"",IF(COUNTBLANK(E30)=1,"",IF(Entrants!L38="x","X","")))</f>
        <v/>
      </c>
      <c r="O30" s="23" t="str">
        <f>IF(Major_Errors&gt;0,"",IF(COUNTBLANK(E30)=1,"",IF(Entrants!L38="n","N","")))</f>
        <v/>
      </c>
      <c r="P30" s="29" t="str">
        <f>IF(Major_Errors&gt;0,"",IF(COUNTBLANK(Entrants!M38)=0,P$8,""))</f>
        <v/>
      </c>
      <c r="Q30" s="29" t="str">
        <f>IF(Major_Errors&gt;0,"",IF(COUNTBLANK(Entrants!N38)=0,Q$8,""))</f>
        <v/>
      </c>
      <c r="R30" s="29" t="str">
        <f>IF(Major_Errors&gt;0,"",IF(COUNTBLANK(Entrants!O38)=0,R$8,""))</f>
        <v/>
      </c>
      <c r="S30" s="29" t="str">
        <f>IF(Major_Errors&gt;0,"",IF(COUNTBLANK(Entrants!P38)=0,S$8,""))</f>
        <v/>
      </c>
      <c r="T30" s="29" t="str">
        <f>IF(Major_Errors&gt;0,"",IF(COUNTBLANK(Entrants!Q38)=0,T$8,""))</f>
        <v/>
      </c>
      <c r="U30" s="29" t="str">
        <f>IF(Major_Errors&gt;0,"",IF(COUNTBLANK(Entrants!R38)=0,U$8,""))</f>
        <v/>
      </c>
      <c r="V30" s="29" t="str">
        <f>IF(Major_Errors&gt;0,"",IF(Entrants!S38="Open",V$8,""))</f>
        <v/>
      </c>
      <c r="W30" s="29" t="str">
        <f>IF(Major_Errors&gt;0,"",IF(Entrants!S38="Sporter",V$8,""))</f>
        <v/>
      </c>
      <c r="X30" s="21" t="str">
        <f>IF(Major_Errors&gt;0,"",IF(COUNTBLANK(Entrants!U38)=0,Entrants!U38,""))</f>
        <v/>
      </c>
      <c r="Y30" s="29" t="str">
        <f>IF(Major_Errors&gt;0,"",IF(COUNTBLANK(Entrants!V38)=0,Y$8,""))</f>
        <v/>
      </c>
      <c r="Z30" s="29" t="str">
        <f>IF(Major_Errors&gt;0,"",IF(COUNTBLANK(Entrants!W38)=0,Y$8,""))</f>
        <v/>
      </c>
      <c r="AA30" s="29" t="str">
        <f>IF(Major_Errors&gt;0,"",IF(OR(Entrants!X38="a",Entrants!X38="A"),AA$8,""))</f>
        <v/>
      </c>
      <c r="AB30" s="29" t="str">
        <f>IF(Major_Errors&gt;0,"",IF(OR(Entrants!X38="b",Entrants!X38="B"),AA$8,""))</f>
        <v/>
      </c>
      <c r="AC30" s="29" t="str">
        <f>IF(Major_Errors&gt;0,"",IF(Entrants!$Y38="A",AC$8,""))</f>
        <v/>
      </c>
      <c r="AD30" s="29" t="str">
        <f>IF(Major_Errors&gt;0,"",IF(Entrants!$Y38="B",AD$8,""))</f>
        <v/>
      </c>
      <c r="AE30" s="240" t="str">
        <f>IF(Major_Errors&gt;0,"",IF(Entrants!$Y38="X",AE$8,""))</f>
        <v/>
      </c>
      <c r="AF30" s="322">
        <f t="shared" si="3"/>
        <v>0</v>
      </c>
      <c r="AG30" s="324">
        <f t="shared" si="4"/>
        <v>0</v>
      </c>
    </row>
    <row r="31" spans="1:33" ht="13.5" x14ac:dyDescent="0.25">
      <c r="A31" s="191" t="str">
        <f t="shared" si="0"/>
        <v/>
      </c>
      <c r="B31" s="232">
        <f t="shared" si="1"/>
        <v>0</v>
      </c>
      <c r="C31" s="191">
        <f t="shared" si="2"/>
        <v>0</v>
      </c>
      <c r="D31" s="191"/>
      <c r="E31" s="239" t="str">
        <f>IF(Major_Errors&gt;0,"",IF(COUNTBLANK(Entrants!B39)=0,'Entrant Data'!E26,""))</f>
        <v/>
      </c>
      <c r="F31" s="21" t="str">
        <f>IF(Major_Errors&gt;0,"",IF(COUNTBLANK(Entrants!C39)=0,'Entrant Data'!F26,""))</f>
        <v/>
      </c>
      <c r="G31" s="25" t="str">
        <f>IF(Major_Errors&gt;0,"",IF(COUNTBLANK(Entrants!D39)=0,Entrants!D39,""))</f>
        <v/>
      </c>
      <c r="H31" s="23" t="str">
        <f>IF(Major_Errors&gt;0,"",IF(COUNTBLANK(Entrants!E39)=0,Entrants!E39,""))</f>
        <v/>
      </c>
      <c r="I31" s="23"/>
      <c r="J31" s="23" t="str">
        <f>IF(Major_Errors&gt;0,"",IF(COUNTBLANK(Entrants!G39)=0,Entrants!G39,""))</f>
        <v/>
      </c>
      <c r="K31" s="23" t="str">
        <f>IF(Major_Errors&gt;0,"",IF(Entrants!H39="y","Y",IF(Entrants!H39="n","N",IF(COUNTBLANK(Entrants!H39)=0,Entrants!H39,""))))</f>
        <v/>
      </c>
      <c r="L31" s="23" t="str">
        <f>IF(Major_Errors&gt;0,"",IF(COUNTBLANK(Entrants!J39)=0,Entrants!E80,""))</f>
        <v/>
      </c>
      <c r="M31" s="23" t="str">
        <f>IF(Major_Errors&gt;0,"",IF(COUNTBLANK(Entrants!K39)=0,"R",""))</f>
        <v/>
      </c>
      <c r="N31" s="23" t="str">
        <f>IF(Major_Errors&gt;0,"",IF(COUNTBLANK(E31)=1,"",IF(Entrants!L39="x","X","")))</f>
        <v/>
      </c>
      <c r="O31" s="23" t="str">
        <f>IF(Major_Errors&gt;0,"",IF(COUNTBLANK(E31)=1,"",IF(Entrants!L39="n","N","")))</f>
        <v/>
      </c>
      <c r="P31" s="29" t="str">
        <f>IF(Major_Errors&gt;0,"",IF(COUNTBLANK(Entrants!M39)=0,P$8,""))</f>
        <v/>
      </c>
      <c r="Q31" s="29" t="str">
        <f>IF(Major_Errors&gt;0,"",IF(COUNTBLANK(Entrants!N39)=0,Q$8,""))</f>
        <v/>
      </c>
      <c r="R31" s="29" t="str">
        <f>IF(Major_Errors&gt;0,"",IF(COUNTBLANK(Entrants!O39)=0,R$8,""))</f>
        <v/>
      </c>
      <c r="S31" s="29" t="str">
        <f>IF(Major_Errors&gt;0,"",IF(COUNTBLANK(Entrants!P39)=0,S$8,""))</f>
        <v/>
      </c>
      <c r="T31" s="29" t="str">
        <f>IF(Major_Errors&gt;0,"",IF(COUNTBLANK(Entrants!Q39)=0,T$8,""))</f>
        <v/>
      </c>
      <c r="U31" s="29" t="str">
        <f>IF(Major_Errors&gt;0,"",IF(COUNTBLANK(Entrants!R39)=0,U$8,""))</f>
        <v/>
      </c>
      <c r="V31" s="29" t="str">
        <f>IF(Major_Errors&gt;0,"",IF(Entrants!S39="Open",V$8,""))</f>
        <v/>
      </c>
      <c r="W31" s="29" t="str">
        <f>IF(Major_Errors&gt;0,"",IF(Entrants!S39="Sporter",V$8,""))</f>
        <v/>
      </c>
      <c r="X31" s="21" t="str">
        <f>IF(Major_Errors&gt;0,"",IF(COUNTBLANK(Entrants!U39)=0,Entrants!U39,""))</f>
        <v/>
      </c>
      <c r="Y31" s="29" t="str">
        <f>IF(Major_Errors&gt;0,"",IF(COUNTBLANK(Entrants!V39)=0,Y$8,""))</f>
        <v/>
      </c>
      <c r="Z31" s="29" t="str">
        <f>IF(Major_Errors&gt;0,"",IF(COUNTBLANK(Entrants!W39)=0,Y$8,""))</f>
        <v/>
      </c>
      <c r="AA31" s="29" t="str">
        <f>IF(Major_Errors&gt;0,"",IF(OR(Entrants!X39="a",Entrants!X39="A"),AA$8,""))</f>
        <v/>
      </c>
      <c r="AB31" s="29" t="str">
        <f>IF(Major_Errors&gt;0,"",IF(OR(Entrants!X39="b",Entrants!X39="B"),AA$8,""))</f>
        <v/>
      </c>
      <c r="AC31" s="29" t="str">
        <f>IF(Major_Errors&gt;0,"",IF(Entrants!$Y39="A",AC$8,""))</f>
        <v/>
      </c>
      <c r="AD31" s="29" t="str">
        <f>IF(Major_Errors&gt;0,"",IF(Entrants!$Y39="B",AD$8,""))</f>
        <v/>
      </c>
      <c r="AE31" s="240" t="str">
        <f>IF(Major_Errors&gt;0,"",IF(Entrants!$Y39="X",AE$8,""))</f>
        <v/>
      </c>
      <c r="AF31" s="322">
        <f t="shared" si="3"/>
        <v>0</v>
      </c>
      <c r="AG31" s="324">
        <f t="shared" si="4"/>
        <v>0</v>
      </c>
    </row>
    <row r="32" spans="1:33" ht="13.5" x14ac:dyDescent="0.25">
      <c r="A32" s="191" t="str">
        <f t="shared" si="0"/>
        <v/>
      </c>
      <c r="B32" s="232">
        <f t="shared" si="1"/>
        <v>0</v>
      </c>
      <c r="C32" s="191">
        <f t="shared" si="2"/>
        <v>0</v>
      </c>
      <c r="D32" s="191"/>
      <c r="E32" s="239" t="str">
        <f>IF(Major_Errors&gt;0,"",IF(COUNTBLANK(Entrants!B40)=0,'Entrant Data'!E27,""))</f>
        <v/>
      </c>
      <c r="F32" s="21" t="str">
        <f>IF(Major_Errors&gt;0,"",IF(COUNTBLANK(Entrants!C40)=0,'Entrant Data'!F27,""))</f>
        <v/>
      </c>
      <c r="G32" s="25" t="str">
        <f>IF(Major_Errors&gt;0,"",IF(COUNTBLANK(Entrants!D40)=0,Entrants!D40,""))</f>
        <v/>
      </c>
      <c r="H32" s="23" t="str">
        <f>IF(Major_Errors&gt;0,"",IF(COUNTBLANK(Entrants!E40)=0,Entrants!E40,""))</f>
        <v/>
      </c>
      <c r="I32" s="23"/>
      <c r="J32" s="23" t="str">
        <f>IF(Major_Errors&gt;0,"",IF(COUNTBLANK(Entrants!G40)=0,Entrants!G40,""))</f>
        <v/>
      </c>
      <c r="K32" s="23" t="str">
        <f>IF(Major_Errors&gt;0,"",IF(Entrants!H40="y","Y",IF(Entrants!H40="n","N",IF(COUNTBLANK(Entrants!H40)=0,Entrants!H40,""))))</f>
        <v/>
      </c>
      <c r="L32" s="23" t="str">
        <f>IF(Major_Errors&gt;0,"",IF(COUNTBLANK(Entrants!J40)=0,Entrants!E81,""))</f>
        <v/>
      </c>
      <c r="M32" s="23" t="str">
        <f>IF(Major_Errors&gt;0,"",IF(COUNTBLANK(Entrants!K40)=0,"R",""))</f>
        <v/>
      </c>
      <c r="N32" s="23" t="str">
        <f>IF(Major_Errors&gt;0,"",IF(COUNTBLANK(E32)=1,"",IF(Entrants!L40="x","X","")))</f>
        <v/>
      </c>
      <c r="O32" s="23" t="str">
        <f>IF(Major_Errors&gt;0,"",IF(COUNTBLANK(E32)=1,"",IF(Entrants!L40="n","N","")))</f>
        <v/>
      </c>
      <c r="P32" s="29" t="str">
        <f>IF(Major_Errors&gt;0,"",IF(COUNTBLANK(Entrants!M40)=0,P$8,""))</f>
        <v/>
      </c>
      <c r="Q32" s="29" t="str">
        <f>IF(Major_Errors&gt;0,"",IF(COUNTBLANK(Entrants!N40)=0,Q$8,""))</f>
        <v/>
      </c>
      <c r="R32" s="29" t="str">
        <f>IF(Major_Errors&gt;0,"",IF(COUNTBLANK(Entrants!O40)=0,R$8,""))</f>
        <v/>
      </c>
      <c r="S32" s="29" t="str">
        <f>IF(Major_Errors&gt;0,"",IF(COUNTBLANK(Entrants!P40)=0,S$8,""))</f>
        <v/>
      </c>
      <c r="T32" s="29" t="str">
        <f>IF(Major_Errors&gt;0,"",IF(COUNTBLANK(Entrants!Q40)=0,T$8,""))</f>
        <v/>
      </c>
      <c r="U32" s="29" t="str">
        <f>IF(Major_Errors&gt;0,"",IF(COUNTBLANK(Entrants!R40)=0,U$8,""))</f>
        <v/>
      </c>
      <c r="V32" s="29" t="str">
        <f>IF(Major_Errors&gt;0,"",IF(Entrants!S40="Open",V$8,""))</f>
        <v/>
      </c>
      <c r="W32" s="29" t="str">
        <f>IF(Major_Errors&gt;0,"",IF(Entrants!S40="Sporter",V$8,""))</f>
        <v/>
      </c>
      <c r="X32" s="21" t="str">
        <f>IF(Major_Errors&gt;0,"",IF(COUNTBLANK(Entrants!U40)=0,Entrants!U40,""))</f>
        <v/>
      </c>
      <c r="Y32" s="29" t="str">
        <f>IF(Major_Errors&gt;0,"",IF(COUNTBLANK(Entrants!V40)=0,Y$8,""))</f>
        <v/>
      </c>
      <c r="Z32" s="29" t="str">
        <f>IF(Major_Errors&gt;0,"",IF(COUNTBLANK(Entrants!W40)=0,Y$8,""))</f>
        <v/>
      </c>
      <c r="AA32" s="29" t="str">
        <f>IF(Major_Errors&gt;0,"",IF(OR(Entrants!X40="a",Entrants!X40="A"),AA$8,""))</f>
        <v/>
      </c>
      <c r="AB32" s="29" t="str">
        <f>IF(Major_Errors&gt;0,"",IF(OR(Entrants!X40="b",Entrants!X40="B"),AA$8,""))</f>
        <v/>
      </c>
      <c r="AC32" s="29" t="str">
        <f>IF(Major_Errors&gt;0,"",IF(Entrants!$Y40="A",AC$8,""))</f>
        <v/>
      </c>
      <c r="AD32" s="29" t="str">
        <f>IF(Major_Errors&gt;0,"",IF(Entrants!$Y40="B",AD$8,""))</f>
        <v/>
      </c>
      <c r="AE32" s="240" t="str">
        <f>IF(Major_Errors&gt;0,"",IF(Entrants!$Y40="X",AE$8,""))</f>
        <v/>
      </c>
      <c r="AF32" s="322">
        <f t="shared" si="3"/>
        <v>0</v>
      </c>
      <c r="AG32" s="324">
        <f t="shared" si="4"/>
        <v>0</v>
      </c>
    </row>
    <row r="33" spans="1:34" ht="13.5" x14ac:dyDescent="0.25">
      <c r="A33" s="191" t="str">
        <f t="shared" si="0"/>
        <v/>
      </c>
      <c r="B33" s="232">
        <f t="shared" si="1"/>
        <v>0</v>
      </c>
      <c r="C33" s="191">
        <f t="shared" si="2"/>
        <v>0</v>
      </c>
      <c r="D33" s="191"/>
      <c r="E33" s="239" t="str">
        <f>IF(Major_Errors&gt;0,"",IF(COUNTBLANK(Entrants!B41)=0,'Entrant Data'!E28,""))</f>
        <v/>
      </c>
      <c r="F33" s="21" t="str">
        <f>IF(Major_Errors&gt;0,"",IF(COUNTBLANK(Entrants!C41)=0,'Entrant Data'!F28,""))</f>
        <v/>
      </c>
      <c r="G33" s="25" t="str">
        <f>IF(Major_Errors&gt;0,"",IF(COUNTBLANK(Entrants!D41)=0,Entrants!D41,""))</f>
        <v/>
      </c>
      <c r="H33" s="23" t="str">
        <f>IF(Major_Errors&gt;0,"",IF(COUNTBLANK(Entrants!E41)=0,Entrants!E41,""))</f>
        <v/>
      </c>
      <c r="I33" s="23"/>
      <c r="J33" s="23" t="str">
        <f>IF(Major_Errors&gt;0,"",IF(COUNTBLANK(Entrants!G41)=0,Entrants!G41,""))</f>
        <v/>
      </c>
      <c r="K33" s="23" t="str">
        <f>IF(Major_Errors&gt;0,"",IF(Entrants!H41="y","Y",IF(Entrants!H41="n","N",IF(COUNTBLANK(Entrants!H41)=0,Entrants!H41,""))))</f>
        <v/>
      </c>
      <c r="L33" s="23" t="str">
        <f>IF(Major_Errors&gt;0,"",IF(COUNTBLANK(Entrants!J41)=0,Entrants!E82,""))</f>
        <v/>
      </c>
      <c r="M33" s="23" t="str">
        <f>IF(Major_Errors&gt;0,"",IF(COUNTBLANK(Entrants!K41)=0,"R",""))</f>
        <v/>
      </c>
      <c r="N33" s="23" t="str">
        <f>IF(Major_Errors&gt;0,"",IF(COUNTBLANK(E33)=1,"",IF(Entrants!L41="x","X","")))</f>
        <v/>
      </c>
      <c r="O33" s="23" t="str">
        <f>IF(Major_Errors&gt;0,"",IF(COUNTBLANK(E33)=1,"",IF(Entrants!L41="n","N","")))</f>
        <v/>
      </c>
      <c r="P33" s="29" t="str">
        <f>IF(Major_Errors&gt;0,"",IF(COUNTBLANK(Entrants!M41)=0,P$8,""))</f>
        <v/>
      </c>
      <c r="Q33" s="29" t="str">
        <f>IF(Major_Errors&gt;0,"",IF(COUNTBLANK(Entrants!N41)=0,Q$8,""))</f>
        <v/>
      </c>
      <c r="R33" s="29" t="str">
        <f>IF(Major_Errors&gt;0,"",IF(COUNTBLANK(Entrants!O41)=0,R$8,""))</f>
        <v/>
      </c>
      <c r="S33" s="29" t="str">
        <f>IF(Major_Errors&gt;0,"",IF(COUNTBLANK(Entrants!P41)=0,S$8,""))</f>
        <v/>
      </c>
      <c r="T33" s="29" t="str">
        <f>IF(Major_Errors&gt;0,"",IF(COUNTBLANK(Entrants!Q41)=0,T$8,""))</f>
        <v/>
      </c>
      <c r="U33" s="29" t="str">
        <f>IF(Major_Errors&gt;0,"",IF(COUNTBLANK(Entrants!R41)=0,U$8,""))</f>
        <v/>
      </c>
      <c r="V33" s="29" t="str">
        <f>IF(Major_Errors&gt;0,"",IF(Entrants!S41="Open",V$8,""))</f>
        <v/>
      </c>
      <c r="W33" s="29" t="str">
        <f>IF(Major_Errors&gt;0,"",IF(Entrants!S41="Sporter",V$8,""))</f>
        <v/>
      </c>
      <c r="X33" s="21" t="str">
        <f>IF(Major_Errors&gt;0,"",IF(COUNTBLANK(Entrants!U41)=0,Entrants!U41,""))</f>
        <v/>
      </c>
      <c r="Y33" s="29" t="str">
        <f>IF(Major_Errors&gt;0,"",IF(COUNTBLANK(Entrants!V41)=0,Y$8,""))</f>
        <v/>
      </c>
      <c r="Z33" s="29" t="str">
        <f>IF(Major_Errors&gt;0,"",IF(COUNTBLANK(Entrants!W41)=0,Y$8,""))</f>
        <v/>
      </c>
      <c r="AA33" s="29" t="str">
        <f>IF(Major_Errors&gt;0,"",IF(OR(Entrants!X41="a",Entrants!X41="A"),AA$8,""))</f>
        <v/>
      </c>
      <c r="AB33" s="29" t="str">
        <f>IF(Major_Errors&gt;0,"",IF(OR(Entrants!X41="b",Entrants!X41="B"),AA$8,""))</f>
        <v/>
      </c>
      <c r="AC33" s="29" t="str">
        <f>IF(Major_Errors&gt;0,"",IF(Entrants!$Y41="A",AC$8,""))</f>
        <v/>
      </c>
      <c r="AD33" s="29" t="str">
        <f>IF(Major_Errors&gt;0,"",IF(Entrants!$Y41="B",AD$8,""))</f>
        <v/>
      </c>
      <c r="AE33" s="240" t="str">
        <f>IF(Major_Errors&gt;0,"",IF(Entrants!$Y41="X",AE$8,""))</f>
        <v/>
      </c>
      <c r="AF33" s="322">
        <f t="shared" si="3"/>
        <v>0</v>
      </c>
      <c r="AG33" s="324">
        <f t="shared" si="4"/>
        <v>0</v>
      </c>
    </row>
    <row r="34" spans="1:34" ht="13.5" x14ac:dyDescent="0.25">
      <c r="A34" s="191" t="str">
        <f t="shared" si="0"/>
        <v/>
      </c>
      <c r="B34" s="232">
        <f t="shared" si="1"/>
        <v>0</v>
      </c>
      <c r="C34" s="191">
        <f t="shared" si="2"/>
        <v>0</v>
      </c>
      <c r="D34" s="191"/>
      <c r="E34" s="239" t="str">
        <f>IF(Major_Errors&gt;0,"",IF(COUNTBLANK(Entrants!B42)=0,'Entrant Data'!E29,""))</f>
        <v/>
      </c>
      <c r="F34" s="21" t="str">
        <f>IF(Major_Errors&gt;0,"",IF(COUNTBLANK(Entrants!C42)=0,'Entrant Data'!F29,""))</f>
        <v/>
      </c>
      <c r="G34" s="25" t="str">
        <f>IF(Major_Errors&gt;0,"",IF(COUNTBLANK(Entrants!D42)=0,Entrants!D42,""))</f>
        <v/>
      </c>
      <c r="H34" s="23" t="str">
        <f>IF(Major_Errors&gt;0,"",IF(COUNTBLANK(Entrants!E42)=0,Entrants!E42,""))</f>
        <v/>
      </c>
      <c r="I34" s="23"/>
      <c r="J34" s="23" t="str">
        <f>IF(Major_Errors&gt;0,"",IF(COUNTBLANK(Entrants!G42)=0,Entrants!G42,""))</f>
        <v/>
      </c>
      <c r="K34" s="23" t="str">
        <f>IF(Major_Errors&gt;0,"",IF(Entrants!H42="y","Y",IF(Entrants!H42="n","N",IF(COUNTBLANK(Entrants!H42)=0,Entrants!H42,""))))</f>
        <v/>
      </c>
      <c r="L34" s="23" t="str">
        <f>IF(Major_Errors&gt;0,"",IF(COUNTBLANK(Entrants!J42)=0,Entrants!E83,""))</f>
        <v/>
      </c>
      <c r="M34" s="23" t="str">
        <f>IF(Major_Errors&gt;0,"",IF(COUNTBLANK(Entrants!K42)=0,"R",""))</f>
        <v/>
      </c>
      <c r="N34" s="23" t="str">
        <f>IF(Major_Errors&gt;0,"",IF(COUNTBLANK(E34)=1,"",IF(Entrants!L42="x","X","")))</f>
        <v/>
      </c>
      <c r="O34" s="23" t="str">
        <f>IF(Major_Errors&gt;0,"",IF(COUNTBLANK(E34)=1,"",IF(Entrants!L42="n","N","")))</f>
        <v/>
      </c>
      <c r="P34" s="29" t="str">
        <f>IF(Major_Errors&gt;0,"",IF(COUNTBLANK(Entrants!M42)=0,P$8,""))</f>
        <v/>
      </c>
      <c r="Q34" s="29" t="str">
        <f>IF(Major_Errors&gt;0,"",IF(COUNTBLANK(Entrants!N42)=0,Q$8,""))</f>
        <v/>
      </c>
      <c r="R34" s="29" t="str">
        <f>IF(Major_Errors&gt;0,"",IF(COUNTBLANK(Entrants!O42)=0,R$8,""))</f>
        <v/>
      </c>
      <c r="S34" s="29" t="str">
        <f>IF(Major_Errors&gt;0,"",IF(COUNTBLANK(Entrants!P42)=0,S$8,""))</f>
        <v/>
      </c>
      <c r="T34" s="29" t="str">
        <f>IF(Major_Errors&gt;0,"",IF(COUNTBLANK(Entrants!Q42)=0,T$8,""))</f>
        <v/>
      </c>
      <c r="U34" s="29" t="str">
        <f>IF(Major_Errors&gt;0,"",IF(COUNTBLANK(Entrants!R42)=0,U$8,""))</f>
        <v/>
      </c>
      <c r="V34" s="29" t="str">
        <f>IF(Major_Errors&gt;0,"",IF(Entrants!S42="Open",V$8,""))</f>
        <v/>
      </c>
      <c r="W34" s="29" t="str">
        <f>IF(Major_Errors&gt;0,"",IF(Entrants!S42="Sporter",V$8,""))</f>
        <v/>
      </c>
      <c r="X34" s="21" t="str">
        <f>IF(Major_Errors&gt;0,"",IF(COUNTBLANK(Entrants!U42)=0,Entrants!U42,""))</f>
        <v/>
      </c>
      <c r="Y34" s="29" t="str">
        <f>IF(Major_Errors&gt;0,"",IF(COUNTBLANK(Entrants!V42)=0,Y$8,""))</f>
        <v/>
      </c>
      <c r="Z34" s="29" t="str">
        <f>IF(Major_Errors&gt;0,"",IF(COUNTBLANK(Entrants!W42)=0,Y$8,""))</f>
        <v/>
      </c>
      <c r="AA34" s="29" t="str">
        <f>IF(Major_Errors&gt;0,"",IF(OR(Entrants!X42="a",Entrants!X42="A"),AA$8,""))</f>
        <v/>
      </c>
      <c r="AB34" s="29" t="str">
        <f>IF(Major_Errors&gt;0,"",IF(OR(Entrants!X42="b",Entrants!X42="B"),AA$8,""))</f>
        <v/>
      </c>
      <c r="AC34" s="29" t="str">
        <f>IF(Major_Errors&gt;0,"",IF(Entrants!$Y42="A",AC$8,""))</f>
        <v/>
      </c>
      <c r="AD34" s="29" t="str">
        <f>IF(Major_Errors&gt;0,"",IF(Entrants!$Y42="B",AD$8,""))</f>
        <v/>
      </c>
      <c r="AE34" s="240" t="str">
        <f>IF(Major_Errors&gt;0,"",IF(Entrants!$Y42="X",AE$8,""))</f>
        <v/>
      </c>
      <c r="AF34" s="322">
        <f t="shared" si="3"/>
        <v>0</v>
      </c>
      <c r="AG34" s="324">
        <f t="shared" si="4"/>
        <v>0</v>
      </c>
    </row>
    <row r="35" spans="1:34" ht="14.25" thickBot="1" x14ac:dyDescent="0.3">
      <c r="A35" s="191" t="str">
        <f t="shared" si="0"/>
        <v/>
      </c>
      <c r="B35" s="232">
        <f t="shared" si="1"/>
        <v>0</v>
      </c>
      <c r="C35" s="191">
        <f t="shared" si="2"/>
        <v>0</v>
      </c>
      <c r="D35" s="191"/>
      <c r="E35" s="241" t="str">
        <f>IF(Major_Errors&gt;0,"",IF(COUNTBLANK(Entrants!B43)=0,'Entrant Data'!E30,""))</f>
        <v/>
      </c>
      <c r="F35" s="242" t="str">
        <f>IF(Major_Errors&gt;0,"",IF(COUNTBLANK(Entrants!C43)=0,'Entrant Data'!F30,""))</f>
        <v/>
      </c>
      <c r="G35" s="243" t="str">
        <f>IF(Major_Errors&gt;0,"",IF(COUNTBLANK(Entrants!D43)=0,Entrants!D43,""))</f>
        <v/>
      </c>
      <c r="H35" s="244" t="str">
        <f>IF(Major_Errors&gt;0,"",IF(COUNTBLANK(Entrants!E43)=0,Entrants!E43,""))</f>
        <v/>
      </c>
      <c r="I35" s="244"/>
      <c r="J35" s="244" t="str">
        <f>IF(Major_Errors&gt;0,"",IF(COUNTBLANK(Entrants!G43)=0,Entrants!G43,""))</f>
        <v/>
      </c>
      <c r="K35" s="244" t="str">
        <f>IF(Major_Errors&gt;0,"",IF(Entrants!H43="y","Y",IF(Entrants!H43="n","N",IF(COUNTBLANK(Entrants!H43)=0,Entrants!H43,""))))</f>
        <v/>
      </c>
      <c r="L35" s="244" t="str">
        <f>IF(Major_Errors&gt;0,"",IF(COUNTBLANK(Entrants!J43)=0,Entrants!E84,""))</f>
        <v/>
      </c>
      <c r="M35" s="244" t="str">
        <f>IF(Major_Errors&gt;0,"",IF(COUNTBLANK(Entrants!K43)=0,"R",""))</f>
        <v/>
      </c>
      <c r="N35" s="244" t="str">
        <f>IF(Major_Errors&gt;0,"",IF(COUNTBLANK(E35)=1,"",IF(Entrants!L43="x","X","")))</f>
        <v/>
      </c>
      <c r="O35" s="244" t="str">
        <f>IF(Major_Errors&gt;0,"",IF(COUNTBLANK(E35)=1,"",IF(Entrants!L43="n","N","")))</f>
        <v/>
      </c>
      <c r="P35" s="245" t="str">
        <f>IF(Major_Errors&gt;0,"",IF(COUNTBLANK(Entrants!M43)=0,P$8,""))</f>
        <v/>
      </c>
      <c r="Q35" s="245" t="str">
        <f>IF(Major_Errors&gt;0,"",IF(COUNTBLANK(Entrants!N43)=0,Q$8,""))</f>
        <v/>
      </c>
      <c r="R35" s="245" t="str">
        <f>IF(Major_Errors&gt;0,"",IF(COUNTBLANK(Entrants!O43)=0,R$8,""))</f>
        <v/>
      </c>
      <c r="S35" s="245" t="str">
        <f>IF(Major_Errors&gt;0,"",IF(COUNTBLANK(Entrants!P43)=0,S$8,""))</f>
        <v/>
      </c>
      <c r="T35" s="245" t="str">
        <f>IF(Major_Errors&gt;0,"",IF(COUNTBLANK(Entrants!Q43)=0,T$8,""))</f>
        <v/>
      </c>
      <c r="U35" s="245" t="str">
        <f>IF(Major_Errors&gt;0,"",IF(COUNTBLANK(Entrants!R43)=0,U$8,""))</f>
        <v/>
      </c>
      <c r="V35" s="245" t="str">
        <f>IF(Major_Errors&gt;0,"",IF(Entrants!S43="Open",V$8,""))</f>
        <v/>
      </c>
      <c r="W35" s="245" t="str">
        <f>IF(Major_Errors&gt;0,"",IF(Entrants!S43="Sporter",V$8,""))</f>
        <v/>
      </c>
      <c r="X35" s="242" t="str">
        <f>IF(Major_Errors&gt;0,"",IF(COUNTBLANK(Entrants!U43)=0,Entrants!U43,""))</f>
        <v/>
      </c>
      <c r="Y35" s="245" t="str">
        <f>IF(Major_Errors&gt;0,"",IF(COUNTBLANK(Entrants!V43)=0,Y$8,""))</f>
        <v/>
      </c>
      <c r="Z35" s="245" t="str">
        <f>IF(Major_Errors&gt;0,"",IF(COUNTBLANK(Entrants!W43)=0,Y$8,""))</f>
        <v/>
      </c>
      <c r="AA35" s="245" t="str">
        <f>IF(Major_Errors&gt;0,"",IF(OR(Entrants!X43="a",Entrants!X43="A"),AA$8,""))</f>
        <v/>
      </c>
      <c r="AB35" s="245" t="str">
        <f>IF(Major_Errors&gt;0,"",IF(OR(Entrants!X43="b",Entrants!X43="B"),AA$8,""))</f>
        <v/>
      </c>
      <c r="AC35" s="245" t="str">
        <f>IF(Major_Errors&gt;0,"",IF(Entrants!$Y43="A",AC$8,""))</f>
        <v/>
      </c>
      <c r="AD35" s="245" t="str">
        <f>IF(Major_Errors&gt;0,"",IF(Entrants!$Y43="B",AD$8,""))</f>
        <v/>
      </c>
      <c r="AE35" s="246" t="str">
        <f>IF(Major_Errors&gt;0,"",IF(Entrants!$Y43="X",AE$8,""))</f>
        <v/>
      </c>
      <c r="AF35" s="322">
        <f t="shared" si="3"/>
        <v>0</v>
      </c>
      <c r="AG35" s="324">
        <f t="shared" si="4"/>
        <v>0</v>
      </c>
    </row>
    <row r="36" spans="1:34" ht="13.5" thickBot="1" x14ac:dyDescent="0.25">
      <c r="E36" s="306" t="s">
        <v>303</v>
      </c>
      <c r="F36" s="9"/>
      <c r="G36" s="9"/>
      <c r="H36" s="128"/>
      <c r="I36" s="128"/>
      <c r="J36" s="128">
        <f>COUNTIF(M9:M35,"R")</f>
        <v>0</v>
      </c>
      <c r="K36" s="9" t="s">
        <v>79</v>
      </c>
      <c r="L36" s="307">
        <v>1.5</v>
      </c>
      <c r="M36" s="308" t="s">
        <v>80</v>
      </c>
      <c r="N36" s="367">
        <f>L36*J36</f>
        <v>0</v>
      </c>
      <c r="O36" s="9"/>
      <c r="P36" s="9">
        <f t="shared" ref="P36:W36" si="5">COUNT(P9:P35)</f>
        <v>0</v>
      </c>
      <c r="Q36" s="9">
        <f t="shared" si="5"/>
        <v>0</v>
      </c>
      <c r="R36" s="9">
        <f t="shared" si="5"/>
        <v>0</v>
      </c>
      <c r="S36" s="9">
        <f t="shared" si="5"/>
        <v>0</v>
      </c>
      <c r="T36" s="9">
        <f t="shared" si="5"/>
        <v>0</v>
      </c>
      <c r="U36" s="9">
        <f t="shared" si="5"/>
        <v>0</v>
      </c>
      <c r="V36" s="9">
        <f t="shared" si="5"/>
        <v>0</v>
      </c>
      <c r="W36" s="9">
        <f t="shared" si="5"/>
        <v>0</v>
      </c>
      <c r="X36" s="9"/>
      <c r="Y36" s="9">
        <f t="shared" ref="Y36:AE36" si="6">COUNT(Y9:Y35)</f>
        <v>0</v>
      </c>
      <c r="Z36" s="9">
        <f t="shared" si="6"/>
        <v>0</v>
      </c>
      <c r="AA36" s="9">
        <f t="shared" si="6"/>
        <v>0</v>
      </c>
      <c r="AB36" s="9">
        <f t="shared" si="6"/>
        <v>0</v>
      </c>
      <c r="AC36" s="9">
        <f t="shared" si="6"/>
        <v>0</v>
      </c>
      <c r="AD36" s="9">
        <f t="shared" si="6"/>
        <v>0</v>
      </c>
      <c r="AE36" s="9">
        <f t="shared" si="6"/>
        <v>0</v>
      </c>
      <c r="AF36" s="322"/>
      <c r="AG36" s="325">
        <f>SUM(AG9:AG35)</f>
        <v>0</v>
      </c>
    </row>
    <row r="37" spans="1:34" ht="14.25" thickBot="1" x14ac:dyDescent="0.3">
      <c r="B37" s="32">
        <f>SUM(B9:B36)</f>
        <v>0</v>
      </c>
      <c r="C37" s="191"/>
      <c r="D37" s="191"/>
      <c r="E37" s="306" t="s">
        <v>258</v>
      </c>
      <c r="F37" s="9"/>
      <c r="G37" s="9"/>
      <c r="H37" s="128"/>
      <c r="I37" s="128"/>
      <c r="J37" s="206">
        <f>B37</f>
        <v>0</v>
      </c>
      <c r="K37" s="9" t="s">
        <v>79</v>
      </c>
      <c r="L37" s="307">
        <v>5.5</v>
      </c>
      <c r="M37" s="308" t="s">
        <v>80</v>
      </c>
      <c r="N37" s="368">
        <f>L37*J37</f>
        <v>0</v>
      </c>
      <c r="O37" s="9"/>
      <c r="P37" s="9"/>
      <c r="Q37" s="9"/>
      <c r="R37" s="9"/>
      <c r="S37" s="9"/>
      <c r="T37" s="9"/>
      <c r="U37" s="9"/>
      <c r="V37" s="9"/>
      <c r="W37" s="9"/>
      <c r="X37" s="9"/>
      <c r="Y37" s="9"/>
      <c r="Z37" s="9"/>
      <c r="AA37" s="9"/>
      <c r="AB37" s="9"/>
      <c r="AC37" s="9"/>
      <c r="AD37" s="9"/>
      <c r="AE37" s="9"/>
      <c r="AF37" s="322"/>
      <c r="AG37" s="189"/>
    </row>
    <row r="38" spans="1:34" ht="13.5" thickBot="1" x14ac:dyDescent="0.25">
      <c r="E38" s="309" t="s">
        <v>78</v>
      </c>
      <c r="F38" s="31"/>
      <c r="G38" s="31"/>
      <c r="H38" s="129"/>
      <c r="I38" s="129"/>
      <c r="J38" s="310">
        <f>IF(Entrants!BJ$45&gt;0,0,Entrants!AB44-'Cost Calc'!J36-J37)</f>
        <v>0</v>
      </c>
      <c r="K38" s="31" t="s">
        <v>79</v>
      </c>
      <c r="L38" s="311">
        <v>22</v>
      </c>
      <c r="M38" s="312" t="s">
        <v>80</v>
      </c>
      <c r="N38" s="369">
        <f>L38*J38</f>
        <v>0</v>
      </c>
      <c r="O38" s="247"/>
      <c r="P38" s="249">
        <f t="shared" ref="P38:W38" si="7">SUM(P9:P35)</f>
        <v>0</v>
      </c>
      <c r="Q38" s="249">
        <f t="shared" si="7"/>
        <v>0</v>
      </c>
      <c r="R38" s="249">
        <f t="shared" si="7"/>
        <v>0</v>
      </c>
      <c r="S38" s="249">
        <f t="shared" si="7"/>
        <v>0</v>
      </c>
      <c r="T38" s="249">
        <f t="shared" si="7"/>
        <v>0</v>
      </c>
      <c r="U38" s="249">
        <f t="shared" si="7"/>
        <v>0</v>
      </c>
      <c r="V38" s="249">
        <f t="shared" si="7"/>
        <v>0</v>
      </c>
      <c r="W38" s="249">
        <f t="shared" si="7"/>
        <v>0</v>
      </c>
      <c r="X38" s="248"/>
      <c r="Y38" s="249">
        <f t="shared" ref="Y38:AE38" si="8">SUM(Y9:Y35)</f>
        <v>0</v>
      </c>
      <c r="Z38" s="249">
        <f t="shared" si="8"/>
        <v>0</v>
      </c>
      <c r="AA38" s="249">
        <f t="shared" si="8"/>
        <v>0</v>
      </c>
      <c r="AB38" s="249">
        <f t="shared" si="8"/>
        <v>0</v>
      </c>
      <c r="AC38" s="249">
        <f t="shared" si="8"/>
        <v>0</v>
      </c>
      <c r="AD38" s="249">
        <f t="shared" si="8"/>
        <v>0</v>
      </c>
      <c r="AE38" s="249">
        <f t="shared" si="8"/>
        <v>0</v>
      </c>
      <c r="AF38" s="323"/>
      <c r="AG38" s="298">
        <f>SUM(P38:AE38)+SUM(N36:N38)</f>
        <v>0</v>
      </c>
      <c r="AH38" s="266" t="s">
        <v>289</v>
      </c>
    </row>
    <row r="39" spans="1:34" x14ac:dyDescent="0.2">
      <c r="E39" s="306" t="s">
        <v>259</v>
      </c>
      <c r="F39" s="9"/>
      <c r="G39" s="9"/>
      <c r="H39" s="128"/>
      <c r="I39" s="128"/>
      <c r="J39" s="9"/>
      <c r="K39" s="9"/>
      <c r="L39" s="9"/>
      <c r="M39" s="9"/>
      <c r="N39" s="9"/>
      <c r="O39" s="9"/>
      <c r="P39" s="9"/>
      <c r="Q39" s="9"/>
      <c r="R39" s="9"/>
      <c r="S39" s="9"/>
      <c r="T39" s="9"/>
      <c r="U39" s="9"/>
      <c r="V39" s="9"/>
      <c r="W39" s="9"/>
      <c r="X39" s="9"/>
      <c r="Y39" s="9"/>
      <c r="Z39" s="9"/>
      <c r="AA39" s="9"/>
      <c r="AB39" s="9"/>
      <c r="AC39" s="9"/>
      <c r="AD39" s="9"/>
      <c r="AE39" s="9"/>
      <c r="AF39" s="276"/>
      <c r="AG39" s="36"/>
    </row>
    <row r="40" spans="1:34" ht="13.5" x14ac:dyDescent="0.25">
      <c r="A40" s="191" t="str">
        <f>IF(P40&gt;0,P40,"")</f>
        <v/>
      </c>
      <c r="B40" s="232"/>
      <c r="C40" s="191"/>
      <c r="D40" s="314" t="str">
        <f>IF(Group!G26=0," ",Group!G26)</f>
        <v xml:space="preserve"> </v>
      </c>
      <c r="E40" s="299" t="str">
        <f>MID(D40,1,FIND(" ",D40)-1)</f>
        <v/>
      </c>
      <c r="F40" s="300" t="str">
        <f>MID(D40,FIND(" ",D40)+1, 999999)</f>
        <v/>
      </c>
      <c r="G40" s="301" t="str">
        <f>IF(Group!G26=0," ",Group!H26)</f>
        <v xml:space="preserve"> </v>
      </c>
      <c r="H40" s="9"/>
      <c r="I40" s="9"/>
      <c r="J40" s="9"/>
      <c r="K40" s="9"/>
      <c r="L40" s="128">
        <f>IF(Entrants!BJ$45&gt;0,0,IF(Group!G26=0,0,1))</f>
        <v>0</v>
      </c>
      <c r="M40" s="140" t="s">
        <v>79</v>
      </c>
      <c r="N40" s="370">
        <f t="shared" ref="N40:N51" si="9">$L$37</f>
        <v>5.5</v>
      </c>
      <c r="O40" s="140" t="s">
        <v>80</v>
      </c>
      <c r="P40" s="370">
        <f>N40*L40</f>
        <v>0</v>
      </c>
      <c r="Q40" s="9"/>
      <c r="R40" s="9"/>
      <c r="S40" s="9"/>
      <c r="T40" s="9"/>
      <c r="U40" s="9"/>
      <c r="V40" s="9"/>
      <c r="W40" s="9"/>
      <c r="X40" s="9"/>
      <c r="Y40" s="9"/>
      <c r="Z40" s="9"/>
      <c r="AA40" s="9"/>
      <c r="AB40" s="9"/>
      <c r="AC40" s="9"/>
      <c r="AD40" s="9"/>
      <c r="AE40" s="9"/>
      <c r="AF40" s="276"/>
      <c r="AG40" s="302">
        <f t="shared" ref="AG40:AG51" si="10">P40</f>
        <v>0</v>
      </c>
    </row>
    <row r="41" spans="1:34" ht="13.5" x14ac:dyDescent="0.25">
      <c r="A41" s="191" t="str">
        <f t="shared" ref="A41:A51" si="11">IF(P41&gt;0,P41,"")</f>
        <v/>
      </c>
      <c r="B41" s="232"/>
      <c r="C41" s="191"/>
      <c r="D41" s="314" t="str">
        <f>IF(Group!G27=0," ",Group!G27)</f>
        <v xml:space="preserve"> </v>
      </c>
      <c r="E41" s="299" t="str">
        <f t="shared" ref="E41:E51" si="12">MID(D41,1,FIND(" ",D41)-1)</f>
        <v/>
      </c>
      <c r="F41" s="300" t="str">
        <f t="shared" ref="F41:F51" si="13">MID(D41,FIND(" ",D41)+1, 999999)</f>
        <v/>
      </c>
      <c r="G41" s="301" t="str">
        <f>IF(Group!G27=0," ",Group!H27)</f>
        <v xml:space="preserve"> </v>
      </c>
      <c r="H41" s="9"/>
      <c r="I41" s="9"/>
      <c r="J41" s="9"/>
      <c r="K41" s="9"/>
      <c r="L41" s="128">
        <f>IF(Entrants!BJ$45&gt;0,0,IF(Group!G27=0,0,1))</f>
        <v>0</v>
      </c>
      <c r="M41" s="140" t="s">
        <v>79</v>
      </c>
      <c r="N41" s="370">
        <f t="shared" si="9"/>
        <v>5.5</v>
      </c>
      <c r="O41" s="140" t="s">
        <v>80</v>
      </c>
      <c r="P41" s="370">
        <f t="shared" ref="P41:P51" si="14">N41*L41</f>
        <v>0</v>
      </c>
      <c r="Q41" s="9"/>
      <c r="R41" s="9"/>
      <c r="S41" s="9"/>
      <c r="T41" s="9"/>
      <c r="U41" s="9"/>
      <c r="V41" s="9"/>
      <c r="W41" s="9"/>
      <c r="X41" s="9"/>
      <c r="Y41" s="9"/>
      <c r="Z41" s="9"/>
      <c r="AA41" s="9"/>
      <c r="AB41" s="9"/>
      <c r="AC41" s="9"/>
      <c r="AD41" s="9"/>
      <c r="AE41" s="9"/>
      <c r="AF41" s="276"/>
      <c r="AG41" s="302">
        <f t="shared" si="10"/>
        <v>0</v>
      </c>
    </row>
    <row r="42" spans="1:34" ht="13.5" x14ac:dyDescent="0.25">
      <c r="A42" s="191" t="str">
        <f t="shared" si="11"/>
        <v/>
      </c>
      <c r="B42" s="232"/>
      <c r="C42" s="191"/>
      <c r="D42" s="314" t="str">
        <f>IF(Group!G28=0," ",Group!G28)</f>
        <v xml:space="preserve"> </v>
      </c>
      <c r="E42" s="299" t="str">
        <f t="shared" si="12"/>
        <v/>
      </c>
      <c r="F42" s="300" t="str">
        <f t="shared" si="13"/>
        <v/>
      </c>
      <c r="G42" s="301" t="str">
        <f>IF(Group!G28=0," ",Group!H28)</f>
        <v xml:space="preserve"> </v>
      </c>
      <c r="H42" s="9"/>
      <c r="I42" s="9"/>
      <c r="J42" s="9"/>
      <c r="K42" s="9"/>
      <c r="L42" s="128">
        <f>IF(Entrants!BJ$45&gt;0,0,IF(Group!G28=0,0,1))</f>
        <v>0</v>
      </c>
      <c r="M42" s="140" t="s">
        <v>79</v>
      </c>
      <c r="N42" s="370">
        <f t="shared" si="9"/>
        <v>5.5</v>
      </c>
      <c r="O42" s="140" t="s">
        <v>80</v>
      </c>
      <c r="P42" s="370">
        <f t="shared" si="14"/>
        <v>0</v>
      </c>
      <c r="Q42" s="9"/>
      <c r="R42" s="9"/>
      <c r="S42" s="9"/>
      <c r="T42" s="9"/>
      <c r="U42" s="9"/>
      <c r="V42" s="9"/>
      <c r="W42" s="9"/>
      <c r="X42" s="9"/>
      <c r="Y42" s="9"/>
      <c r="Z42" s="9"/>
      <c r="AA42" s="9"/>
      <c r="AB42" s="9"/>
      <c r="AC42" s="9"/>
      <c r="AD42" s="9"/>
      <c r="AE42" s="9"/>
      <c r="AF42" s="276"/>
      <c r="AG42" s="302">
        <f t="shared" si="10"/>
        <v>0</v>
      </c>
    </row>
    <row r="43" spans="1:34" ht="13.5" x14ac:dyDescent="0.25">
      <c r="A43" s="191" t="str">
        <f t="shared" si="11"/>
        <v/>
      </c>
      <c r="B43" s="232"/>
      <c r="C43" s="191"/>
      <c r="D43" s="314" t="str">
        <f>IF(Group!G29=0," ",Group!G29)</f>
        <v xml:space="preserve"> </v>
      </c>
      <c r="E43" s="299" t="str">
        <f t="shared" si="12"/>
        <v/>
      </c>
      <c r="F43" s="300" t="str">
        <f t="shared" si="13"/>
        <v/>
      </c>
      <c r="G43" s="301" t="str">
        <f>IF(Group!G29=0," ",Group!H29)</f>
        <v xml:space="preserve"> </v>
      </c>
      <c r="H43" s="9"/>
      <c r="I43" s="9"/>
      <c r="J43" s="9"/>
      <c r="K43" s="9"/>
      <c r="L43" s="128">
        <f>IF(Entrants!BJ$45&gt;0,0,IF(Group!G29=0,0,1))</f>
        <v>0</v>
      </c>
      <c r="M43" s="140" t="s">
        <v>79</v>
      </c>
      <c r="N43" s="370">
        <f t="shared" si="9"/>
        <v>5.5</v>
      </c>
      <c r="O43" s="140" t="s">
        <v>80</v>
      </c>
      <c r="P43" s="370">
        <f t="shared" si="14"/>
        <v>0</v>
      </c>
      <c r="Q43" s="9"/>
      <c r="R43" s="9"/>
      <c r="S43" s="9"/>
      <c r="T43" s="9"/>
      <c r="U43" s="9"/>
      <c r="V43" s="9"/>
      <c r="W43" s="9"/>
      <c r="X43" s="9"/>
      <c r="Y43" s="9"/>
      <c r="Z43" s="9"/>
      <c r="AA43" s="9"/>
      <c r="AB43" s="9"/>
      <c r="AC43" s="9"/>
      <c r="AD43" s="9"/>
      <c r="AE43" s="9"/>
      <c r="AF43" s="276"/>
      <c r="AG43" s="302">
        <f t="shared" si="10"/>
        <v>0</v>
      </c>
    </row>
    <row r="44" spans="1:34" ht="13.5" x14ac:dyDescent="0.25">
      <c r="A44" s="191" t="str">
        <f t="shared" si="11"/>
        <v/>
      </c>
      <c r="B44" s="232"/>
      <c r="C44" s="191"/>
      <c r="D44" s="314" t="str">
        <f>IF(Group!G30=0," ",Group!G30)</f>
        <v xml:space="preserve"> </v>
      </c>
      <c r="E44" s="299" t="str">
        <f t="shared" si="12"/>
        <v/>
      </c>
      <c r="F44" s="300" t="str">
        <f t="shared" si="13"/>
        <v/>
      </c>
      <c r="G44" s="301" t="str">
        <f>IF(Group!G30=0," ",Group!H30)</f>
        <v xml:space="preserve"> </v>
      </c>
      <c r="H44" s="9"/>
      <c r="I44" s="9"/>
      <c r="J44" s="9"/>
      <c r="K44" s="9"/>
      <c r="L44" s="128">
        <f>IF(Entrants!BJ$45&gt;0,0,IF(Group!G30=0,0,1))</f>
        <v>0</v>
      </c>
      <c r="M44" s="140" t="s">
        <v>79</v>
      </c>
      <c r="N44" s="370">
        <f t="shared" si="9"/>
        <v>5.5</v>
      </c>
      <c r="O44" s="140" t="s">
        <v>80</v>
      </c>
      <c r="P44" s="370">
        <f t="shared" si="14"/>
        <v>0</v>
      </c>
      <c r="Q44" s="9"/>
      <c r="R44" s="9"/>
      <c r="S44" s="9"/>
      <c r="T44" s="9"/>
      <c r="U44" s="9"/>
      <c r="V44" s="9"/>
      <c r="W44" s="9"/>
      <c r="X44" s="9"/>
      <c r="Y44" s="9"/>
      <c r="Z44" s="9"/>
      <c r="AA44" s="9"/>
      <c r="AB44" s="9"/>
      <c r="AC44" s="9"/>
      <c r="AD44" s="9"/>
      <c r="AE44" s="9"/>
      <c r="AF44" s="276"/>
      <c r="AG44" s="302">
        <f t="shared" si="10"/>
        <v>0</v>
      </c>
    </row>
    <row r="45" spans="1:34" ht="13.5" x14ac:dyDescent="0.25">
      <c r="A45" s="191"/>
      <c r="B45" s="232"/>
      <c r="C45" s="191"/>
      <c r="D45" s="314" t="str">
        <f>IF(Group!G31=0," ",Group!G31)</f>
        <v xml:space="preserve"> </v>
      </c>
      <c r="E45" s="299" t="str">
        <f t="shared" si="12"/>
        <v/>
      </c>
      <c r="F45" s="300" t="str">
        <f t="shared" si="13"/>
        <v/>
      </c>
      <c r="G45" s="301" t="str">
        <f>IF(Group!G31=0," ",Group!H31)</f>
        <v xml:space="preserve"> </v>
      </c>
      <c r="H45" s="9"/>
      <c r="I45" s="9"/>
      <c r="J45" s="9"/>
      <c r="K45" s="9"/>
      <c r="L45" s="128">
        <f>IF(Entrants!BJ$45&gt;0,0,IF(Group!G31=0,0,1))</f>
        <v>0</v>
      </c>
      <c r="M45" s="140" t="s">
        <v>79</v>
      </c>
      <c r="N45" s="370">
        <f t="shared" si="9"/>
        <v>5.5</v>
      </c>
      <c r="O45" s="140" t="s">
        <v>80</v>
      </c>
      <c r="P45" s="370">
        <f t="shared" si="14"/>
        <v>0</v>
      </c>
      <c r="Q45" s="9"/>
      <c r="R45" s="9"/>
      <c r="S45" s="9"/>
      <c r="T45" s="9"/>
      <c r="U45" s="9"/>
      <c r="V45" s="9"/>
      <c r="W45" s="9"/>
      <c r="X45" s="9"/>
      <c r="Y45" s="9"/>
      <c r="Z45" s="9"/>
      <c r="AA45" s="9"/>
      <c r="AB45" s="9"/>
      <c r="AC45" s="9"/>
      <c r="AD45" s="9"/>
      <c r="AE45" s="9"/>
      <c r="AF45" s="276"/>
      <c r="AG45" s="302">
        <f t="shared" si="10"/>
        <v>0</v>
      </c>
    </row>
    <row r="46" spans="1:34" ht="13.5" x14ac:dyDescent="0.25">
      <c r="A46" s="191"/>
      <c r="B46" s="232"/>
      <c r="C46" s="191"/>
      <c r="D46" s="314" t="str">
        <f>IF(Group!G32=0," ",Group!G32)</f>
        <v xml:space="preserve"> </v>
      </c>
      <c r="E46" s="299" t="str">
        <f t="shared" si="12"/>
        <v/>
      </c>
      <c r="F46" s="300" t="str">
        <f t="shared" si="13"/>
        <v/>
      </c>
      <c r="G46" s="301" t="str">
        <f>IF(Group!G32=0," ",Group!H32)</f>
        <v xml:space="preserve"> </v>
      </c>
      <c r="H46" s="9"/>
      <c r="I46" s="9"/>
      <c r="J46" s="9"/>
      <c r="K46" s="9"/>
      <c r="L46" s="128">
        <f>IF(Entrants!BJ$45&gt;0,0,IF(Group!G32=0,0,1))</f>
        <v>0</v>
      </c>
      <c r="M46" s="140" t="s">
        <v>79</v>
      </c>
      <c r="N46" s="370">
        <f t="shared" si="9"/>
        <v>5.5</v>
      </c>
      <c r="O46" s="140" t="s">
        <v>80</v>
      </c>
      <c r="P46" s="370">
        <f t="shared" si="14"/>
        <v>0</v>
      </c>
      <c r="Q46" s="9"/>
      <c r="R46" s="9"/>
      <c r="S46" s="9"/>
      <c r="T46" s="9"/>
      <c r="U46" s="9"/>
      <c r="V46" s="9"/>
      <c r="W46" s="9"/>
      <c r="X46" s="9"/>
      <c r="Y46" s="9"/>
      <c r="Z46" s="9"/>
      <c r="AA46" s="9"/>
      <c r="AB46" s="9"/>
      <c r="AC46" s="9"/>
      <c r="AD46" s="9"/>
      <c r="AE46" s="9"/>
      <c r="AF46" s="276"/>
      <c r="AG46" s="302">
        <f t="shared" si="10"/>
        <v>0</v>
      </c>
    </row>
    <row r="47" spans="1:34" ht="13.5" x14ac:dyDescent="0.25">
      <c r="A47" s="191"/>
      <c r="B47" s="232"/>
      <c r="C47" s="191"/>
      <c r="D47" s="314" t="str">
        <f>IF(Group!G33=0," ",Group!G33)</f>
        <v xml:space="preserve"> </v>
      </c>
      <c r="E47" s="299" t="str">
        <f t="shared" si="12"/>
        <v/>
      </c>
      <c r="F47" s="300" t="str">
        <f t="shared" si="13"/>
        <v/>
      </c>
      <c r="G47" s="301" t="str">
        <f>IF(Group!G33=0," ",Group!H33)</f>
        <v xml:space="preserve"> </v>
      </c>
      <c r="H47" s="9"/>
      <c r="I47" s="9"/>
      <c r="J47" s="9"/>
      <c r="K47" s="9"/>
      <c r="L47" s="128">
        <f>IF(Entrants!BJ$45&gt;0,0,IF(Group!G33=0,0,1))</f>
        <v>0</v>
      </c>
      <c r="M47" s="140" t="s">
        <v>79</v>
      </c>
      <c r="N47" s="370">
        <f t="shared" si="9"/>
        <v>5.5</v>
      </c>
      <c r="O47" s="140" t="s">
        <v>80</v>
      </c>
      <c r="P47" s="370">
        <f t="shared" si="14"/>
        <v>0</v>
      </c>
      <c r="Q47" s="9"/>
      <c r="R47" s="9"/>
      <c r="S47" s="9"/>
      <c r="T47" s="9"/>
      <c r="U47" s="9"/>
      <c r="V47" s="9"/>
      <c r="W47" s="9"/>
      <c r="X47" s="9"/>
      <c r="Y47" s="9"/>
      <c r="Z47" s="9"/>
      <c r="AA47" s="9"/>
      <c r="AB47" s="9"/>
      <c r="AC47" s="9"/>
      <c r="AD47" s="9"/>
      <c r="AE47" s="9"/>
      <c r="AF47" s="276"/>
      <c r="AG47" s="302">
        <f t="shared" si="10"/>
        <v>0</v>
      </c>
    </row>
    <row r="48" spans="1:34" ht="13.5" x14ac:dyDescent="0.25">
      <c r="A48" s="191" t="str">
        <f t="shared" si="11"/>
        <v/>
      </c>
      <c r="B48" s="232"/>
      <c r="C48" s="191"/>
      <c r="D48" s="314" t="str">
        <f>IF(Group!G34=0," ",Group!G34)</f>
        <v xml:space="preserve"> </v>
      </c>
      <c r="E48" s="299" t="str">
        <f t="shared" si="12"/>
        <v/>
      </c>
      <c r="F48" s="300" t="str">
        <f t="shared" si="13"/>
        <v/>
      </c>
      <c r="G48" s="301" t="str">
        <f>IF(Group!G34=0," ",Group!H34)</f>
        <v xml:space="preserve"> </v>
      </c>
      <c r="H48" s="9"/>
      <c r="I48" s="9"/>
      <c r="J48" s="9"/>
      <c r="K48" s="9"/>
      <c r="L48" s="128">
        <f>IF(Entrants!BJ$45&gt;0,0,IF(Group!G34=0,0,1))</f>
        <v>0</v>
      </c>
      <c r="M48" s="140" t="s">
        <v>79</v>
      </c>
      <c r="N48" s="370">
        <f t="shared" si="9"/>
        <v>5.5</v>
      </c>
      <c r="O48" s="140" t="s">
        <v>80</v>
      </c>
      <c r="P48" s="370">
        <f t="shared" si="14"/>
        <v>0</v>
      </c>
      <c r="Q48" s="9"/>
      <c r="R48" s="9"/>
      <c r="S48" s="9"/>
      <c r="T48" s="9"/>
      <c r="U48" s="9"/>
      <c r="V48" s="9"/>
      <c r="W48" s="9"/>
      <c r="X48" s="9"/>
      <c r="Y48" s="9"/>
      <c r="Z48" s="9"/>
      <c r="AA48" s="9"/>
      <c r="AB48" s="9"/>
      <c r="AC48" s="9"/>
      <c r="AD48" s="9"/>
      <c r="AE48" s="9"/>
      <c r="AF48" s="276"/>
      <c r="AG48" s="302">
        <f t="shared" si="10"/>
        <v>0</v>
      </c>
    </row>
    <row r="49" spans="1:33" ht="13.5" x14ac:dyDescent="0.25">
      <c r="A49" s="191" t="str">
        <f t="shared" si="11"/>
        <v/>
      </c>
      <c r="B49" s="232"/>
      <c r="C49" s="191"/>
      <c r="D49" s="314" t="str">
        <f>IF(Group!G35=0," ",Group!G35)</f>
        <v xml:space="preserve"> </v>
      </c>
      <c r="E49" s="299" t="str">
        <f t="shared" si="12"/>
        <v/>
      </c>
      <c r="F49" s="300" t="str">
        <f t="shared" si="13"/>
        <v/>
      </c>
      <c r="G49" s="301" t="str">
        <f>IF(Group!G35=0," ",Group!H35)</f>
        <v xml:space="preserve"> </v>
      </c>
      <c r="H49" s="9"/>
      <c r="I49" s="9"/>
      <c r="J49" s="9"/>
      <c r="K49" s="9"/>
      <c r="L49" s="128">
        <f>IF(Entrants!BJ$45&gt;0,0,IF(Group!G35=0,0,1))</f>
        <v>0</v>
      </c>
      <c r="M49" s="140" t="s">
        <v>79</v>
      </c>
      <c r="N49" s="370">
        <f t="shared" si="9"/>
        <v>5.5</v>
      </c>
      <c r="O49" s="140" t="s">
        <v>80</v>
      </c>
      <c r="P49" s="370">
        <f t="shared" si="14"/>
        <v>0</v>
      </c>
      <c r="Q49" s="9"/>
      <c r="R49" s="9"/>
      <c r="S49" s="9"/>
      <c r="T49" s="9"/>
      <c r="U49" s="9"/>
      <c r="V49" s="9"/>
      <c r="W49" s="9"/>
      <c r="X49" s="9"/>
      <c r="Y49" s="9"/>
      <c r="Z49" s="9"/>
      <c r="AA49" s="9"/>
      <c r="AB49" s="9"/>
      <c r="AC49" s="9"/>
      <c r="AD49" s="9"/>
      <c r="AE49" s="9"/>
      <c r="AF49" s="276"/>
      <c r="AG49" s="302">
        <f t="shared" si="10"/>
        <v>0</v>
      </c>
    </row>
    <row r="50" spans="1:33" ht="13.5" x14ac:dyDescent="0.25">
      <c r="A50" s="191" t="str">
        <f t="shared" si="11"/>
        <v/>
      </c>
      <c r="B50" s="232"/>
      <c r="C50" s="191"/>
      <c r="D50" s="314" t="str">
        <f>IF(Group!G36=0," ",Group!G36)</f>
        <v xml:space="preserve"> </v>
      </c>
      <c r="E50" s="299" t="str">
        <f t="shared" si="12"/>
        <v/>
      </c>
      <c r="F50" s="300" t="str">
        <f t="shared" si="13"/>
        <v/>
      </c>
      <c r="G50" s="301" t="str">
        <f>IF(Group!G36=0," ",Group!H36)</f>
        <v xml:space="preserve"> </v>
      </c>
      <c r="H50" s="9"/>
      <c r="I50" s="9"/>
      <c r="J50" s="9"/>
      <c r="K50" s="9"/>
      <c r="L50" s="128">
        <f>IF(Entrants!BJ$45&gt;0,0,IF(Group!G36=0,0,1))</f>
        <v>0</v>
      </c>
      <c r="M50" s="140" t="s">
        <v>79</v>
      </c>
      <c r="N50" s="370">
        <f t="shared" si="9"/>
        <v>5.5</v>
      </c>
      <c r="O50" s="140" t="s">
        <v>80</v>
      </c>
      <c r="P50" s="370">
        <f t="shared" si="14"/>
        <v>0</v>
      </c>
      <c r="Q50" s="9"/>
      <c r="R50" s="9"/>
      <c r="S50" s="9"/>
      <c r="T50" s="9"/>
      <c r="U50" s="9"/>
      <c r="V50" s="9"/>
      <c r="W50" s="9"/>
      <c r="X50" s="9"/>
      <c r="Y50" s="9"/>
      <c r="Z50" s="9"/>
      <c r="AA50" s="9"/>
      <c r="AB50" s="9"/>
      <c r="AC50" s="9"/>
      <c r="AD50" s="9"/>
      <c r="AE50" s="9"/>
      <c r="AF50" s="276"/>
      <c r="AG50" s="302">
        <f t="shared" si="10"/>
        <v>0</v>
      </c>
    </row>
    <row r="51" spans="1:33" ht="14.25" thickBot="1" x14ac:dyDescent="0.3">
      <c r="A51" s="191" t="str">
        <f t="shared" si="11"/>
        <v/>
      </c>
      <c r="B51" s="232"/>
      <c r="C51" s="191"/>
      <c r="D51" s="314" t="str">
        <f>IF(Group!G37=0," ",Group!G37)</f>
        <v xml:space="preserve"> </v>
      </c>
      <c r="E51" s="299" t="str">
        <f t="shared" si="12"/>
        <v/>
      </c>
      <c r="F51" s="300" t="str">
        <f t="shared" si="13"/>
        <v/>
      </c>
      <c r="G51" s="301" t="str">
        <f>IF(Group!G37=0," ",Group!H37)</f>
        <v xml:space="preserve"> </v>
      </c>
      <c r="H51" s="9"/>
      <c r="I51" s="9"/>
      <c r="J51" s="9"/>
      <c r="K51" s="9"/>
      <c r="L51" s="128">
        <f>IF(Entrants!BJ$45&gt;0,0,IF(Group!G37=0,0,1))</f>
        <v>0</v>
      </c>
      <c r="M51" s="140" t="s">
        <v>79</v>
      </c>
      <c r="N51" s="370">
        <f t="shared" si="9"/>
        <v>5.5</v>
      </c>
      <c r="O51" s="140" t="s">
        <v>80</v>
      </c>
      <c r="P51" s="370">
        <f t="shared" si="14"/>
        <v>0</v>
      </c>
      <c r="Q51" s="9"/>
      <c r="R51" s="9"/>
      <c r="S51" s="9"/>
      <c r="T51" s="9"/>
      <c r="U51" s="9"/>
      <c r="V51" s="9"/>
      <c r="W51" s="9"/>
      <c r="X51" s="9"/>
      <c r="Y51" s="9"/>
      <c r="Z51" s="9"/>
      <c r="AA51" s="9"/>
      <c r="AB51" s="9"/>
      <c r="AC51" s="9"/>
      <c r="AD51" s="9"/>
      <c r="AE51" s="9"/>
      <c r="AF51" s="276"/>
      <c r="AG51" s="302">
        <f t="shared" si="10"/>
        <v>0</v>
      </c>
    </row>
    <row r="52" spans="1:33" ht="33.75" customHeight="1" thickBot="1" x14ac:dyDescent="0.3">
      <c r="D52" s="314"/>
      <c r="E52" s="30"/>
      <c r="F52" s="31"/>
      <c r="G52" s="31"/>
      <c r="H52" s="31"/>
      <c r="I52" s="31"/>
      <c r="J52" s="31"/>
      <c r="K52" s="31"/>
      <c r="L52" s="31">
        <f>SUM(L40:L51)</f>
        <v>0</v>
      </c>
      <c r="M52" s="31"/>
      <c r="N52" s="31"/>
      <c r="O52" s="303" t="str">
        <f>E39</f>
        <v>Non-Shooting adults</v>
      </c>
      <c r="P52" s="371">
        <f>SUM(P40:P51)</f>
        <v>0</v>
      </c>
      <c r="Q52" s="31"/>
      <c r="R52" s="31"/>
      <c r="S52" s="31"/>
      <c r="T52" s="31"/>
      <c r="U52" s="31"/>
      <c r="V52" s="31"/>
      <c r="W52" s="31"/>
      <c r="X52" s="31"/>
      <c r="Y52" s="31"/>
      <c r="Z52" s="31"/>
      <c r="AA52" s="31"/>
      <c r="AB52" s="31"/>
      <c r="AC52" s="31"/>
      <c r="AD52" s="31"/>
      <c r="AE52" s="304" t="s">
        <v>288</v>
      </c>
      <c r="AF52" s="323"/>
      <c r="AG52" s="313">
        <f>SUM(AG38:AG51)</f>
        <v>0</v>
      </c>
    </row>
    <row r="53" spans="1:33" ht="15.75" x14ac:dyDescent="0.25">
      <c r="A53" s="190">
        <f>AG52</f>
        <v>0</v>
      </c>
      <c r="B53" s="233"/>
      <c r="C53" s="190"/>
      <c r="D53" s="190"/>
    </row>
  </sheetData>
  <sheetProtection password="C858" sheet="1" objects="1" scenarios="1"/>
  <mergeCells count="22">
    <mergeCell ref="E2:H2"/>
    <mergeCell ref="J2:AF2"/>
    <mergeCell ref="V5:X5"/>
    <mergeCell ref="AA5:AB5"/>
    <mergeCell ref="E3:F3"/>
    <mergeCell ref="P3:AE3"/>
    <mergeCell ref="E4:F4"/>
    <mergeCell ref="P4:X4"/>
    <mergeCell ref="Y4:AD4"/>
    <mergeCell ref="V8:X8"/>
    <mergeCell ref="AA8:AB8"/>
    <mergeCell ref="AC5:AE5"/>
    <mergeCell ref="E6:F6"/>
    <mergeCell ref="S6:T6"/>
    <mergeCell ref="V6:X6"/>
    <mergeCell ref="AA6:AB6"/>
    <mergeCell ref="AC6:AE6"/>
    <mergeCell ref="E5:F5"/>
    <mergeCell ref="S5:T5"/>
    <mergeCell ref="Y8:Z8"/>
    <mergeCell ref="Y5:Z5"/>
    <mergeCell ref="Y6:Z6"/>
  </mergeCells>
  <phoneticPr fontId="13" type="noConversion"/>
  <pageMargins left="0.25" right="0.25" top="0.75" bottom="0.75" header="0.3" footer="0.3"/>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6"/>
  <sheetViews>
    <sheetView zoomScale="89" zoomScaleNormal="89" workbookViewId="0">
      <selection activeCell="E5" sqref="E5"/>
    </sheetView>
  </sheetViews>
  <sheetFormatPr defaultRowHeight="12.75" x14ac:dyDescent="0.2"/>
  <cols>
    <col min="1" max="1" width="7.85546875" customWidth="1"/>
    <col min="2" max="2" width="16.7109375" customWidth="1"/>
    <col min="3" max="3" width="37.42578125" customWidth="1"/>
    <col min="4" max="4" width="19.42578125" customWidth="1"/>
    <col min="5" max="5" width="30.28515625" customWidth="1"/>
    <col min="6" max="6" width="12" customWidth="1"/>
    <col min="7" max="7" width="25.42578125" customWidth="1"/>
    <col min="8" max="8" width="12.5703125" customWidth="1"/>
    <col min="9" max="9" width="6.42578125" customWidth="1"/>
    <col min="11" max="11" width="0" hidden="1" customWidth="1"/>
    <col min="12" max="12" width="5.7109375" customWidth="1"/>
  </cols>
  <sheetData>
    <row r="1" spans="1:9" x14ac:dyDescent="0.2">
      <c r="A1" s="74"/>
    </row>
    <row r="2" spans="1:9" ht="15.75" x14ac:dyDescent="0.25">
      <c r="A2" s="75"/>
      <c r="E2" s="78" t="str">
        <f>Entrants!J3</f>
        <v xml:space="preserve">FORTY-THIRD NATIONAL SCOUT RIFLE CHAMPIONSHIPS </v>
      </c>
    </row>
    <row r="3" spans="1:9" ht="15.75" x14ac:dyDescent="0.25">
      <c r="A3" s="76"/>
      <c r="E3" s="78" t="str">
        <f>Entrants!J4</f>
        <v>BISLEY, 18th  – 20th October 2019</v>
      </c>
    </row>
    <row r="4" spans="1:9" ht="15.75" x14ac:dyDescent="0.25">
      <c r="A4" s="77"/>
      <c r="E4" s="79" t="s">
        <v>100</v>
      </c>
    </row>
    <row r="5" spans="1:9" ht="15.75" x14ac:dyDescent="0.25">
      <c r="E5" s="80" t="s">
        <v>416</v>
      </c>
    </row>
    <row r="6" spans="1:9" ht="13.5" thickBot="1" x14ac:dyDescent="0.25"/>
    <row r="7" spans="1:9" ht="15.75" customHeight="1" x14ac:dyDescent="0.2">
      <c r="B7" s="251" t="s">
        <v>83</v>
      </c>
      <c r="C7" s="560" t="str">
        <f>B23</f>
        <v/>
      </c>
      <c r="D7" s="561"/>
      <c r="E7" s="562"/>
      <c r="F7" s="47" t="s">
        <v>104</v>
      </c>
      <c r="G7" s="296"/>
      <c r="H7" s="297">
        <f>Entrants!D10</f>
        <v>0</v>
      </c>
      <c r="I7" s="36"/>
    </row>
    <row r="8" spans="1:9" ht="16.5" customHeight="1" x14ac:dyDescent="0.2">
      <c r="B8" s="563" t="str">
        <f>IF(Entrants!I10=""," -",Entrants!I10)</f>
        <v xml:space="preserve"> -</v>
      </c>
      <c r="C8" s="564"/>
      <c r="D8" s="565"/>
      <c r="E8" s="566"/>
      <c r="F8" s="583" t="s">
        <v>106</v>
      </c>
      <c r="G8" s="584"/>
      <c r="H8" s="584"/>
      <c r="I8" s="585"/>
    </row>
    <row r="9" spans="1:9" ht="31.5" customHeight="1" x14ac:dyDescent="0.2">
      <c r="B9" s="50" t="s">
        <v>95</v>
      </c>
      <c r="C9" s="116" t="str">
        <f>IF(Entrants!O10=""," -",Entrants!O10)</f>
        <v xml:space="preserve"> -</v>
      </c>
      <c r="D9" s="51" t="s">
        <v>96</v>
      </c>
      <c r="E9" s="69" t="str">
        <f>IF(Entrants!V10=""," -",Entrants!V10)</f>
        <v xml:space="preserve"> -</v>
      </c>
      <c r="F9" s="583" t="s">
        <v>105</v>
      </c>
      <c r="G9" s="584"/>
      <c r="H9" s="584"/>
      <c r="I9" s="585"/>
    </row>
    <row r="10" spans="1:9" ht="17.25" customHeight="1" thickBot="1" x14ac:dyDescent="0.25">
      <c r="B10" s="121" t="s">
        <v>85</v>
      </c>
      <c r="C10" s="586"/>
      <c r="D10" s="587"/>
      <c r="E10" s="588"/>
      <c r="F10" s="583" t="s">
        <v>84</v>
      </c>
      <c r="G10" s="584"/>
      <c r="H10" s="584"/>
      <c r="I10" s="585"/>
    </row>
    <row r="11" spans="1:9" ht="17.25" customHeight="1" x14ac:dyDescent="0.2">
      <c r="B11" s="592" t="s">
        <v>171</v>
      </c>
      <c r="C11" s="593"/>
      <c r="D11" s="593"/>
      <c r="E11" s="594" t="s">
        <v>295</v>
      </c>
      <c r="F11" s="595"/>
      <c r="G11" s="595"/>
      <c r="H11" s="595"/>
      <c r="I11" s="596"/>
    </row>
    <row r="12" spans="1:9" ht="16.5" customHeight="1" x14ac:dyDescent="0.2">
      <c r="B12" s="118" t="s">
        <v>168</v>
      </c>
      <c r="C12" s="567"/>
      <c r="D12" s="612"/>
      <c r="E12" s="317" t="s">
        <v>293</v>
      </c>
      <c r="F12" s="572"/>
      <c r="G12" s="573"/>
      <c r="H12" s="573"/>
      <c r="I12" s="574"/>
    </row>
    <row r="13" spans="1:9" ht="15" customHeight="1" x14ac:dyDescent="0.2">
      <c r="B13" s="122" t="s">
        <v>169</v>
      </c>
      <c r="C13" s="613"/>
      <c r="D13" s="612"/>
      <c r="E13" s="581" t="s">
        <v>294</v>
      </c>
      <c r="F13" s="575"/>
      <c r="G13" s="576"/>
      <c r="H13" s="576"/>
      <c r="I13" s="577"/>
    </row>
    <row r="14" spans="1:9" ht="14.25" customHeight="1" x14ac:dyDescent="0.2">
      <c r="B14" s="52"/>
      <c r="C14" s="120" t="s">
        <v>97</v>
      </c>
      <c r="D14" s="119"/>
      <c r="E14" s="582"/>
      <c r="F14" s="578"/>
      <c r="G14" s="579"/>
      <c r="H14" s="579"/>
      <c r="I14" s="580"/>
    </row>
    <row r="15" spans="1:9" ht="15.75" customHeight="1" x14ac:dyDescent="0.2">
      <c r="B15" s="123" t="s">
        <v>170</v>
      </c>
      <c r="C15" s="567"/>
      <c r="D15" s="568"/>
      <c r="E15" s="122" t="s">
        <v>97</v>
      </c>
      <c r="F15" s="622"/>
      <c r="G15" s="623"/>
      <c r="H15" s="623"/>
      <c r="I15" s="624"/>
    </row>
    <row r="16" spans="1:9" ht="13.5" thickBot="1" x14ac:dyDescent="0.25">
      <c r="B16" s="124" t="s">
        <v>86</v>
      </c>
      <c r="C16" s="555"/>
      <c r="D16" s="611"/>
      <c r="E16" s="125" t="s">
        <v>292</v>
      </c>
      <c r="F16" s="589"/>
      <c r="G16" s="590"/>
      <c r="H16" s="590"/>
      <c r="I16" s="591"/>
    </row>
    <row r="17" spans="2:11" ht="26.25" customHeight="1" x14ac:dyDescent="0.2">
      <c r="B17" s="614" t="s">
        <v>87</v>
      </c>
      <c r="C17" s="615"/>
      <c r="D17" s="615"/>
      <c r="E17" s="616"/>
      <c r="F17" s="616"/>
      <c r="G17" s="616"/>
      <c r="H17" s="616"/>
      <c r="I17" s="617"/>
    </row>
    <row r="18" spans="2:11" ht="10.5" customHeight="1" x14ac:dyDescent="0.2">
      <c r="B18" s="569"/>
      <c r="C18" s="570"/>
      <c r="D18" s="570"/>
      <c r="E18" s="570"/>
      <c r="F18" s="570"/>
      <c r="G18" s="570"/>
      <c r="H18" s="570"/>
      <c r="I18" s="571"/>
    </row>
    <row r="19" spans="2:11" ht="24" customHeight="1" x14ac:dyDescent="0.2">
      <c r="B19" s="250" t="s">
        <v>88</v>
      </c>
      <c r="C19" s="630" t="str">
        <f>B23</f>
        <v/>
      </c>
      <c r="D19" s="631"/>
      <c r="E19" s="632"/>
      <c r="F19" s="633" t="s">
        <v>89</v>
      </c>
      <c r="G19" s="634"/>
      <c r="H19" s="634"/>
      <c r="I19" s="635"/>
    </row>
    <row r="20" spans="2:11" ht="16.5" customHeight="1" x14ac:dyDescent="0.2">
      <c r="B20" s="608" t="s">
        <v>296</v>
      </c>
      <c r="C20" s="609"/>
      <c r="D20" s="609"/>
      <c r="E20" s="610"/>
      <c r="F20" s="625"/>
      <c r="G20" s="568"/>
      <c r="H20" s="568"/>
      <c r="I20" s="626"/>
    </row>
    <row r="21" spans="2:11" ht="18" customHeight="1" thickBot="1" x14ac:dyDescent="0.25">
      <c r="B21" s="44" t="s">
        <v>90</v>
      </c>
      <c r="C21" s="555"/>
      <c r="D21" s="556"/>
      <c r="E21" s="557"/>
      <c r="F21" s="44" t="s">
        <v>91</v>
      </c>
      <c r="G21" s="627"/>
      <c r="H21" s="628"/>
      <c r="I21" s="629"/>
    </row>
    <row r="22" spans="2:11" ht="18" customHeight="1" thickBot="1" x14ac:dyDescent="0.25">
      <c r="B22" s="553" t="s">
        <v>290</v>
      </c>
      <c r="C22" s="544"/>
      <c r="D22" s="544"/>
      <c r="E22" s="316"/>
      <c r="F22" s="363"/>
      <c r="G22" s="618" t="s">
        <v>318</v>
      </c>
      <c r="H22" s="604"/>
      <c r="I22" s="619"/>
    </row>
    <row r="23" spans="2:11" ht="27" customHeight="1" thickBot="1" x14ac:dyDescent="0.25">
      <c r="B23" s="558" t="str">
        <f>IF(Major_Errors&gt;0,"ERRORS IN ENTRY - INVALID","")</f>
        <v/>
      </c>
      <c r="C23" s="559"/>
      <c r="D23" s="559"/>
      <c r="E23" s="559"/>
      <c r="F23" s="361"/>
      <c r="G23" s="607" t="s">
        <v>360</v>
      </c>
      <c r="H23" s="620"/>
      <c r="I23" s="621"/>
    </row>
    <row r="24" spans="2:11" ht="16.5" customHeight="1" thickBot="1" x14ac:dyDescent="0.25">
      <c r="B24" s="553" t="s">
        <v>93</v>
      </c>
      <c r="C24" s="544"/>
      <c r="D24" s="315" t="s">
        <v>92</v>
      </c>
      <c r="E24" s="269"/>
      <c r="F24" s="362"/>
      <c r="G24" s="607" t="s">
        <v>361</v>
      </c>
      <c r="H24" s="576"/>
      <c r="I24" s="577"/>
    </row>
    <row r="25" spans="2:11" ht="24" customHeight="1" thickBot="1" x14ac:dyDescent="0.25">
      <c r="B25" s="46" t="s">
        <v>94</v>
      </c>
      <c r="C25" s="49"/>
      <c r="D25" s="553"/>
      <c r="E25" s="554"/>
      <c r="F25" s="361"/>
      <c r="G25" s="360" t="s">
        <v>286</v>
      </c>
      <c r="H25" s="551" t="s">
        <v>285</v>
      </c>
      <c r="I25" s="552"/>
      <c r="K25" s="266" t="s">
        <v>283</v>
      </c>
    </row>
    <row r="26" spans="2:11" ht="15.75" customHeight="1" thickBot="1" x14ac:dyDescent="0.25">
      <c r="B26" s="70">
        <f>IF(Entrants!$BJ$45=0,'Cost Calc'!J38,0)</f>
        <v>0</v>
      </c>
      <c r="C26" s="603" t="str">
        <f>CONCATENATE("Main Competition entrants @ £",'Cost Calc'!L$38," each:")</f>
        <v>Main Competition entrants @ £22 each:</v>
      </c>
      <c r="D26" s="604"/>
      <c r="E26" s="604"/>
      <c r="F26" s="357">
        <f>B26*'Cost Calc'!L38</f>
        <v>0</v>
      </c>
      <c r="G26" s="372"/>
      <c r="H26" s="549"/>
      <c r="I26" s="550"/>
      <c r="K26" s="266" t="s">
        <v>284</v>
      </c>
    </row>
    <row r="27" spans="2:11" ht="13.5" customHeight="1" thickBot="1" x14ac:dyDescent="0.25">
      <c r="B27" s="70">
        <f>IF(Entrants!$BJ$45=0,'Cost Calc'!J36+'Cost Calc'!H52,0)</f>
        <v>0</v>
      </c>
      <c r="C27" s="603" t="str">
        <f>CONCATENATE("Range Officers @ £",'Cost Calc'!L$36," each: (Photo copies of relevant certificates required)")</f>
        <v>Range Officers @ £1.5 each: (Photo copies of relevant certificates required)</v>
      </c>
      <c r="D27" s="604"/>
      <c r="E27" s="604"/>
      <c r="F27" s="357">
        <f>B27*'Cost Calc'!L36</f>
        <v>0</v>
      </c>
      <c r="G27" s="372"/>
      <c r="H27" s="549"/>
      <c r="I27" s="550"/>
    </row>
    <row r="28" spans="2:11" ht="15.75" customHeight="1" thickBot="1" x14ac:dyDescent="0.25">
      <c r="B28" s="70">
        <f>IF(Entrants!$BJ$45=0,SUM('Cost Calc'!P36:R36)+'Cost Calc'!Z36+'Cost Calc'!Y36,0)</f>
        <v>0</v>
      </c>
      <c r="C28" s="603" t="str">
        <f>CONCATENATE("Own Rifle (6yd), Own Pistol, Vintage Rifle and Target Sprint entries @ £",'Cost Calc'!P8," per person per class:")</f>
        <v>Own Rifle (6yd), Own Pistol, Vintage Rifle and Target Sprint entries @ £4 per person per class:</v>
      </c>
      <c r="D28" s="604"/>
      <c r="E28" s="604"/>
      <c r="F28" s="357">
        <f>B28*'Cost Calc'!P8</f>
        <v>0</v>
      </c>
      <c r="G28" s="372"/>
      <c r="H28" s="549"/>
      <c r="I28" s="550"/>
    </row>
    <row r="29" spans="2:11" ht="16.5" customHeight="1" thickBot="1" x14ac:dyDescent="0.25">
      <c r="B29" s="70">
        <f>IF(Entrants!$BJ$45=0,SUM('Cost Calc'!S36:T36),0)</f>
        <v>0</v>
      </c>
      <c r="C29" s="603" t="str">
        <f>CONCATENATE("Own Rifle (10 metre – electronic targets) @ £",'Cost Calc'!S8," per person:")</f>
        <v>Own Rifle (10 metre – electronic targets) @ £6.5 per person:</v>
      </c>
      <c r="D29" s="604"/>
      <c r="E29" s="604"/>
      <c r="F29" s="357">
        <f>B29*'Cost Calc'!S8</f>
        <v>0</v>
      </c>
      <c r="G29" s="372"/>
      <c r="H29" s="549"/>
      <c r="I29" s="550"/>
    </row>
    <row r="30" spans="2:11" ht="15" customHeight="1" thickBot="1" x14ac:dyDescent="0.25">
      <c r="B30" s="70">
        <f>IF(Entrants!$BJ$45=0,'Cost Calc'!AD36,0)</f>
        <v>0</v>
      </c>
      <c r="C30" s="603" t="str">
        <f>CONCATENATE("Beginners’ small-bore rifle experience shoots @ £",'Cost Calc'!AD8," per person: (Guest Day Registration Form required unless HSRC Member)")</f>
        <v>Beginners’ small-bore rifle experience shoots @ £8 per person: (Guest Day Registration Form required unless HSRC Member)</v>
      </c>
      <c r="D30" s="604"/>
      <c r="E30" s="604"/>
      <c r="F30" s="357">
        <f>B30*'Cost Calc'!AD8</f>
        <v>0</v>
      </c>
      <c r="G30" s="372"/>
      <c r="H30" s="549"/>
      <c r="I30" s="550"/>
    </row>
    <row r="31" spans="2:11" ht="14.25" customHeight="1" thickBot="1" x14ac:dyDescent="0.25">
      <c r="B31" s="73">
        <f>IF(Entrants!$BJ$45=0,('Cost Calc'!AC36+'Cost Calc'!AE36),0)</f>
        <v>0</v>
      </c>
      <c r="C31" s="603" t="str">
        <f>CONCATENATE("Small-bore rifle shoots in Class A or X @ £",'Cost Calc'!AC8," per person: (Guest Day Registration Form required unless HSRC Member)")</f>
        <v>Small-bore rifle shoots in Class A or X @ £9.5 per person: (Guest Day Registration Form required unless HSRC Member)</v>
      </c>
      <c r="D31" s="604"/>
      <c r="E31" s="604"/>
      <c r="F31" s="357">
        <f>B31*'Cost Calc'!AE8</f>
        <v>0</v>
      </c>
      <c r="G31" s="372"/>
      <c r="H31" s="549"/>
      <c r="I31" s="550"/>
    </row>
    <row r="32" spans="2:11" ht="17.25" customHeight="1" thickBot="1" x14ac:dyDescent="0.25">
      <c r="B32" s="73">
        <f>IF(Entrants!$BJ$45=0,('Cost Calc'!AA36+'Cost Calc'!AB36),0)</f>
        <v>0</v>
      </c>
      <c r="C32" s="603" t="str">
        <f>CONCATENATE("Full bore rifle experience shoots @ £",'Cost Calc'!AA8," per person: (Guest Day Registration Form required unless SCSRC Member)")</f>
        <v>Full bore rifle experience shoots @ £16.5 per person: (Guest Day Registration Form required unless SCSRC Member)</v>
      </c>
      <c r="D32" s="604"/>
      <c r="E32" s="604"/>
      <c r="F32" s="358">
        <f>B32*'Cost Calc'!AA8</f>
        <v>0</v>
      </c>
      <c r="G32" s="372"/>
      <c r="H32" s="549"/>
      <c r="I32" s="550"/>
    </row>
    <row r="33" spans="1:9" ht="15.75" customHeight="1" thickBot="1" x14ac:dyDescent="0.25">
      <c r="B33" s="73">
        <f>IF(Entrants!$BJ$45=0,'Cost Calc'!U36,0)</f>
        <v>0</v>
      </c>
      <c r="C33" s="603" t="str">
        <f>CONCATENATE("Advanced Field Target @ £",'Cost Calc'!U8," per person")</f>
        <v>Advanced Field Target @ £4 per person</v>
      </c>
      <c r="D33" s="604"/>
      <c r="E33" s="604"/>
      <c r="F33" s="357">
        <f>B33*'Cost Calc'!U8</f>
        <v>0</v>
      </c>
      <c r="G33" s="372"/>
      <c r="H33" s="549"/>
      <c r="I33" s="550"/>
    </row>
    <row r="34" spans="1:9" ht="15.75" customHeight="1" thickBot="1" x14ac:dyDescent="0.25">
      <c r="B34" s="73">
        <f>IF(Entrants!$BJ$45=0,SUM('Cost Calc'!V36:W36),0)</f>
        <v>0</v>
      </c>
      <c r="C34" s="603" t="str">
        <f>CONCATENATE("Three position Rifle @ £",'Cost Calc'!V8," per person")</f>
        <v>Three position Rifle @ £10 per person</v>
      </c>
      <c r="D34" s="604"/>
      <c r="E34" s="604"/>
      <c r="F34" s="357">
        <f>B34*'Cost Calc'!V8</f>
        <v>0</v>
      </c>
      <c r="G34" s="372"/>
      <c r="H34" s="549"/>
      <c r="I34" s="550"/>
    </row>
    <row r="35" spans="1:9" ht="15.75" customHeight="1" thickBot="1" x14ac:dyDescent="0.25">
      <c r="B35" s="73">
        <f>IF(Entrants!$BJ$45=0,'Cost Calc'!J37,0)</f>
        <v>0</v>
      </c>
      <c r="C35" s="636" t="str">
        <f>CONCATENATE("Adults competing in 'Extra Events' only (i.e No main Event entry) @ £",'Cost Calc'!L37, "each")</f>
        <v>Adults competing in 'Extra Events' only (i.e No main Event entry) @ £5.5each</v>
      </c>
      <c r="D35" s="501"/>
      <c r="E35" s="501"/>
      <c r="F35" s="359">
        <f>B35*'Cost Calc'!L37</f>
        <v>0</v>
      </c>
      <c r="G35" s="372"/>
      <c r="H35" s="549"/>
      <c r="I35" s="550"/>
    </row>
    <row r="36" spans="1:9" ht="16.5" customHeight="1" thickBot="1" x14ac:dyDescent="0.25">
      <c r="B36" s="73">
        <f>IF(Entrants!$BJ$45=0,'Cost Calc'!L52,0)</f>
        <v>0</v>
      </c>
      <c r="C36" s="603" t="str">
        <f>CONCATENATE("Non shooters excluding ROs* (adults &amp; Young Leaders only) @ £",'Cost Calc'!L37," each: (Provide names etc. in panel on Right)")</f>
        <v>Non shooters excluding ROs* (adults &amp; Young Leaders only) @ £5.5 each: (Provide names etc. in panel on Right)</v>
      </c>
      <c r="D36" s="604"/>
      <c r="E36" s="604"/>
      <c r="F36" s="71">
        <f>'Cost Calc'!P52</f>
        <v>0</v>
      </c>
      <c r="G36" s="372"/>
      <c r="H36" s="549"/>
      <c r="I36" s="550"/>
    </row>
    <row r="37" spans="1:9" ht="20.25" customHeight="1" thickBot="1" x14ac:dyDescent="0.25">
      <c r="B37" s="600" t="s">
        <v>375</v>
      </c>
      <c r="C37" s="601"/>
      <c r="D37" s="601"/>
      <c r="E37" s="602"/>
      <c r="F37" s="72">
        <f>SUM(F26:F36)</f>
        <v>0</v>
      </c>
      <c r="G37" s="372"/>
      <c r="H37" s="549"/>
      <c r="I37" s="550"/>
    </row>
    <row r="38" spans="1:9" ht="15.75" customHeight="1" thickBot="1" x14ac:dyDescent="0.25">
      <c r="B38" s="597" t="s">
        <v>98</v>
      </c>
      <c r="C38" s="598"/>
      <c r="D38" s="53"/>
      <c r="E38" s="45" t="s">
        <v>297</v>
      </c>
      <c r="F38" s="605"/>
      <c r="G38" s="606"/>
      <c r="H38" s="606"/>
      <c r="I38" s="48" t="s">
        <v>99</v>
      </c>
    </row>
    <row r="39" spans="1:9" ht="17.25" customHeight="1" x14ac:dyDescent="0.2">
      <c r="A39" s="9"/>
      <c r="B39" s="599" t="s">
        <v>270</v>
      </c>
      <c r="C39" s="599"/>
      <c r="D39" s="599"/>
      <c r="E39" s="599"/>
      <c r="F39" s="599"/>
      <c r="G39" s="599"/>
      <c r="H39" s="599"/>
      <c r="I39" s="599"/>
    </row>
    <row r="41" spans="1:9" x14ac:dyDescent="0.2">
      <c r="A41" s="9"/>
      <c r="B41" s="9"/>
      <c r="C41" s="9"/>
      <c r="D41" s="9"/>
      <c r="E41" s="9"/>
      <c r="F41" s="9"/>
      <c r="G41" s="9"/>
      <c r="H41" s="9"/>
      <c r="I41" s="9"/>
    </row>
    <row r="42" spans="1:9" x14ac:dyDescent="0.2">
      <c r="A42" s="9"/>
      <c r="B42" s="9"/>
      <c r="C42" s="9"/>
      <c r="D42" s="9"/>
      <c r="E42" s="9"/>
      <c r="F42" s="9"/>
      <c r="G42" s="9"/>
      <c r="H42" s="9"/>
      <c r="I42" s="9"/>
    </row>
    <row r="43" spans="1:9" x14ac:dyDescent="0.2">
      <c r="A43" s="9"/>
      <c r="B43" s="570"/>
      <c r="C43" s="570"/>
      <c r="D43" s="570"/>
      <c r="E43" s="570"/>
      <c r="F43" s="570"/>
      <c r="G43" s="570"/>
      <c r="H43" s="570"/>
      <c r="I43" s="570"/>
    </row>
    <row r="44" spans="1:9" x14ac:dyDescent="0.2">
      <c r="A44" s="9"/>
      <c r="B44" s="9"/>
      <c r="C44" s="9"/>
      <c r="D44" s="9"/>
      <c r="E44" s="9"/>
      <c r="F44" s="9"/>
      <c r="G44" s="9"/>
      <c r="H44" s="9"/>
      <c r="I44" s="9"/>
    </row>
    <row r="45" spans="1:9" x14ac:dyDescent="0.2">
      <c r="A45" s="9"/>
      <c r="B45" s="9"/>
      <c r="C45" s="9"/>
      <c r="D45" s="9"/>
      <c r="E45" s="9"/>
      <c r="F45" s="9"/>
      <c r="G45" s="9"/>
      <c r="H45" s="9"/>
      <c r="I45" s="9"/>
    </row>
    <row r="46" spans="1:9" x14ac:dyDescent="0.2">
      <c r="A46" s="9"/>
      <c r="B46" s="9"/>
      <c r="C46" s="9"/>
      <c r="D46" s="9"/>
      <c r="E46" s="9"/>
      <c r="F46" s="9"/>
      <c r="G46" s="9"/>
      <c r="H46" s="9"/>
      <c r="I46" s="9"/>
    </row>
  </sheetData>
  <sheetProtection password="C858" sheet="1" objects="1" scenarios="1"/>
  <protectedRanges>
    <protectedRange sqref="C21:E21" name="Signatory Name"/>
    <protectedRange sqref="F20:I20" name="Signatory Appt"/>
    <protectedRange sqref="F20:I20" name="Signatory Appointment"/>
    <protectedRange sqref="C15:D15" name="Contact Phone"/>
    <protectedRange sqref="F12:I16" name="Home Contact details"/>
    <protectedRange sqref="C12:D12" name="Contact Name"/>
    <protectedRange sqref="D14 F15" name="Postcodes"/>
    <protectedRange sqref="G26:I37" name="Camp Only Names etc"/>
    <protectedRange sqref="D38" name="Planned Arrival Time"/>
    <protectedRange sqref="F38:H38" name="Planned Arrival day"/>
    <protectedRange sqref="C10:E10" name="Scarf"/>
    <protectedRange sqref="C13:D13" name="Contact Address"/>
    <protectedRange sqref="C16:D16" name="Contact email"/>
    <protectedRange sqref="G21:I21" name="Signatory Phone"/>
  </protectedRanges>
  <mergeCells count="61">
    <mergeCell ref="C32:E32"/>
    <mergeCell ref="C26:E26"/>
    <mergeCell ref="C27:E27"/>
    <mergeCell ref="C35:E35"/>
    <mergeCell ref="C29:E29"/>
    <mergeCell ref="C31:E31"/>
    <mergeCell ref="C28:E28"/>
    <mergeCell ref="C30:E30"/>
    <mergeCell ref="G24:I24"/>
    <mergeCell ref="B20:E20"/>
    <mergeCell ref="C16:D16"/>
    <mergeCell ref="C12:D12"/>
    <mergeCell ref="C13:D13"/>
    <mergeCell ref="B17:I17"/>
    <mergeCell ref="G22:I22"/>
    <mergeCell ref="G23:I23"/>
    <mergeCell ref="F15:I15"/>
    <mergeCell ref="F20:I20"/>
    <mergeCell ref="G21:I21"/>
    <mergeCell ref="C19:E19"/>
    <mergeCell ref="F19:I19"/>
    <mergeCell ref="B43:I43"/>
    <mergeCell ref="B38:C38"/>
    <mergeCell ref="B39:I39"/>
    <mergeCell ref="B37:E37"/>
    <mergeCell ref="C33:E33"/>
    <mergeCell ref="C34:E34"/>
    <mergeCell ref="F38:H38"/>
    <mergeCell ref="C36:E36"/>
    <mergeCell ref="H35:I35"/>
    <mergeCell ref="H36:I36"/>
    <mergeCell ref="H37:I37"/>
    <mergeCell ref="C7:E7"/>
    <mergeCell ref="B8:E8"/>
    <mergeCell ref="C15:D15"/>
    <mergeCell ref="B18:I18"/>
    <mergeCell ref="F12:I12"/>
    <mergeCell ref="F13:I14"/>
    <mergeCell ref="E13:E14"/>
    <mergeCell ref="F9:I9"/>
    <mergeCell ref="C10:E10"/>
    <mergeCell ref="F10:I10"/>
    <mergeCell ref="F16:I16"/>
    <mergeCell ref="B11:D11"/>
    <mergeCell ref="E11:I11"/>
    <mergeCell ref="F8:I8"/>
    <mergeCell ref="D25:E25"/>
    <mergeCell ref="C21:E21"/>
    <mergeCell ref="B23:E23"/>
    <mergeCell ref="B22:D22"/>
    <mergeCell ref="B24:C24"/>
    <mergeCell ref="H25:I25"/>
    <mergeCell ref="H26:I26"/>
    <mergeCell ref="H27:I27"/>
    <mergeCell ref="H28:I28"/>
    <mergeCell ref="H29:I29"/>
    <mergeCell ref="H30:I30"/>
    <mergeCell ref="H31:I31"/>
    <mergeCell ref="H32:I32"/>
    <mergeCell ref="H33:I33"/>
    <mergeCell ref="H34:I34"/>
  </mergeCells>
  <phoneticPr fontId="13" type="noConversion"/>
  <conditionalFormatting sqref="C19:E19">
    <cfRule type="notContainsBlanks" dxfId="15" priority="3" stopIfTrue="1">
      <formula>LEN(TRIM(C19))&gt;0</formula>
    </cfRule>
  </conditionalFormatting>
  <dataValidations xWindow="1096" yWindow="441" count="1">
    <dataValidation type="textLength" operator="lessThanOrEqual" allowBlank="1" showInputMessage="1" showErrorMessage="1" sqref="G21:I21">
      <formula1>40</formula1>
    </dataValidation>
  </dataValidations>
  <pageMargins left="0.23622047244094491" right="0.23622047244094491" top="0.39370078740157483" bottom="0.19685039370078741" header="0" footer="0.11811023622047245"/>
  <pageSetup paperSize="9"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M247"/>
  <sheetViews>
    <sheetView zoomScale="75" zoomScaleNormal="75" workbookViewId="0">
      <selection activeCell="BM1" sqref="BM1:BM1048576"/>
    </sheetView>
  </sheetViews>
  <sheetFormatPr defaultRowHeight="12.75" x14ac:dyDescent="0.2"/>
  <cols>
    <col min="1" max="1" width="2.42578125" customWidth="1"/>
    <col min="2" max="2" width="4" style="392" customWidth="1"/>
    <col min="5" max="5" width="10.140625" customWidth="1"/>
    <col min="8" max="8" width="12" customWidth="1"/>
    <col min="9" max="9" width="10.140625" customWidth="1"/>
    <col min="11" max="11" width="10.28515625" customWidth="1"/>
    <col min="22" max="22" width="10.28515625" customWidth="1"/>
    <col min="26" max="26" width="13.7109375" customWidth="1"/>
    <col min="27" max="27" width="13.28515625" customWidth="1"/>
    <col min="28" max="28" width="30.5703125" customWidth="1"/>
    <col min="29" max="29" width="29.140625" hidden="1" customWidth="1"/>
    <col min="30" max="30" width="12.7109375" hidden="1" customWidth="1"/>
    <col min="31" max="34" width="9.140625" hidden="1" customWidth="1"/>
    <col min="35" max="35" width="12" hidden="1" customWidth="1"/>
    <col min="36" max="36" width="14.85546875" hidden="1" customWidth="1"/>
    <col min="37" max="38" width="9.140625" hidden="1" customWidth="1"/>
    <col min="39" max="39" width="19.5703125" hidden="1" customWidth="1"/>
    <col min="40" max="40" width="9.140625" hidden="1" customWidth="1"/>
    <col min="41" max="41" width="20.140625" hidden="1" customWidth="1"/>
    <col min="42" max="51" width="9.140625" hidden="1" customWidth="1"/>
    <col min="52" max="52" width="54.28515625" hidden="1" customWidth="1"/>
    <col min="53" max="60" width="9.140625" hidden="1" customWidth="1"/>
    <col min="61" max="61" width="16.5703125" hidden="1" customWidth="1"/>
    <col min="62" max="62" width="18.42578125" hidden="1" customWidth="1"/>
    <col min="63" max="63" width="9.140625" hidden="1" customWidth="1"/>
    <col min="64" max="64" width="31.42578125" hidden="1" customWidth="1"/>
    <col min="65" max="65" width="9.140625" hidden="1" customWidth="1"/>
    <col min="66" max="66" width="20.42578125" customWidth="1"/>
    <col min="67" max="67" width="9.140625" customWidth="1"/>
  </cols>
  <sheetData>
    <row r="1" spans="1:64" ht="24" thickBot="1" x14ac:dyDescent="0.4">
      <c r="A1" s="252"/>
      <c r="AB1" s="31"/>
      <c r="AE1" s="334" t="s">
        <v>308</v>
      </c>
      <c r="AF1" s="334"/>
      <c r="AG1" s="334"/>
      <c r="AJ1" s="1"/>
      <c r="AL1" s="337"/>
      <c r="AM1" s="206"/>
      <c r="AN1" s="206"/>
      <c r="AP1" s="27"/>
      <c r="BA1" s="1"/>
      <c r="BB1" s="1"/>
      <c r="BC1" s="1"/>
      <c r="BD1" s="1"/>
    </row>
    <row r="2" spans="1:64" ht="13.5" x14ac:dyDescent="0.25">
      <c r="A2" s="252"/>
      <c r="C2" s="34"/>
      <c r="D2" s="35"/>
      <c r="E2" s="35"/>
      <c r="F2" s="35"/>
      <c r="G2" s="35"/>
      <c r="H2" s="35"/>
      <c r="I2" s="35"/>
      <c r="J2" s="35"/>
      <c r="K2" s="35"/>
      <c r="L2" s="35"/>
      <c r="M2" s="35"/>
      <c r="N2" s="35"/>
      <c r="O2" s="35"/>
      <c r="P2" s="35"/>
      <c r="Q2" s="35"/>
      <c r="R2" s="35"/>
      <c r="S2" s="35"/>
      <c r="T2" s="35"/>
      <c r="U2" s="35"/>
      <c r="V2" s="35"/>
      <c r="W2" s="35"/>
      <c r="X2" s="35"/>
      <c r="Y2" s="35"/>
      <c r="Z2" s="35"/>
      <c r="AA2" s="35"/>
      <c r="AB2" s="379"/>
      <c r="AC2" s="36"/>
      <c r="AE2" s="403" t="s">
        <v>331</v>
      </c>
      <c r="AF2" s="404"/>
      <c r="AG2" s="404"/>
      <c r="AH2" s="404"/>
      <c r="AJ2" s="1"/>
      <c r="AL2" s="337"/>
      <c r="AM2" s="206"/>
      <c r="AN2" s="206"/>
      <c r="AP2" s="27"/>
      <c r="BA2" s="1"/>
      <c r="BB2" s="1"/>
      <c r="BC2" s="1"/>
      <c r="BD2" s="1"/>
    </row>
    <row r="3" spans="1:64" ht="16.5" thickBot="1" x14ac:dyDescent="0.3">
      <c r="A3" s="252"/>
      <c r="C3" s="8"/>
      <c r="D3" s="9"/>
      <c r="E3" s="9"/>
      <c r="F3" s="9"/>
      <c r="G3" s="9"/>
      <c r="H3" s="9"/>
      <c r="I3" s="9"/>
      <c r="J3" s="9"/>
      <c r="K3" s="492" t="str">
        <f>Entrants!J3</f>
        <v xml:space="preserve">FORTY-THIRD NATIONAL SCOUT RIFLE CHAMPIONSHIPS </v>
      </c>
      <c r="L3" s="492"/>
      <c r="M3" s="492"/>
      <c r="N3" s="492"/>
      <c r="O3" s="492"/>
      <c r="P3" s="492"/>
      <c r="Q3" s="492"/>
      <c r="R3" s="492"/>
      <c r="S3" s="9"/>
      <c r="T3" s="9"/>
      <c r="U3" s="9"/>
      <c r="V3" s="9"/>
      <c r="W3" s="9"/>
      <c r="X3" s="9"/>
      <c r="Y3" s="9"/>
      <c r="Z3" s="9"/>
      <c r="AA3" s="9"/>
      <c r="AB3" s="379"/>
      <c r="AC3" s="37"/>
      <c r="AE3" s="374" t="s">
        <v>321</v>
      </c>
      <c r="AF3" s="274"/>
      <c r="AG3" s="274"/>
      <c r="AH3" s="274"/>
      <c r="AI3" s="274"/>
      <c r="AJ3" s="274"/>
      <c r="AK3" s="274"/>
      <c r="AL3" s="274"/>
      <c r="AM3" s="206"/>
      <c r="AN3" s="206"/>
      <c r="AP3" s="27"/>
      <c r="BA3" s="1"/>
      <c r="BB3" s="1"/>
      <c r="BC3" s="1"/>
      <c r="BD3" s="1"/>
    </row>
    <row r="4" spans="1:64" ht="16.5" thickBot="1" x14ac:dyDescent="0.3">
      <c r="A4" s="252"/>
      <c r="C4" s="8"/>
      <c r="D4" s="9"/>
      <c r="E4" s="9"/>
      <c r="F4" s="9"/>
      <c r="G4" s="9"/>
      <c r="H4" s="9"/>
      <c r="I4" s="9"/>
      <c r="J4" s="9"/>
      <c r="K4" s="492" t="str">
        <f>Entrants!J4</f>
        <v>BISLEY, 18th  – 20th October 2019</v>
      </c>
      <c r="L4" s="492"/>
      <c r="M4" s="492"/>
      <c r="N4" s="492"/>
      <c r="O4" s="492"/>
      <c r="P4" s="492"/>
      <c r="Q4" s="492"/>
      <c r="R4" s="492"/>
      <c r="S4" s="9"/>
      <c r="T4" s="9"/>
      <c r="U4" s="9"/>
      <c r="V4" s="9"/>
      <c r="W4" s="9"/>
      <c r="X4" s="9"/>
      <c r="Y4" s="9"/>
      <c r="Z4" s="9"/>
      <c r="AA4" s="9"/>
      <c r="AB4" s="379"/>
      <c r="AC4" s="37"/>
      <c r="AI4" s="109" t="s">
        <v>82</v>
      </c>
      <c r="AJ4" s="336">
        <f>AJ5</f>
        <v>43757</v>
      </c>
      <c r="AK4" s="331" t="s">
        <v>307</v>
      </c>
      <c r="AL4" s="339"/>
      <c r="AM4" s="206"/>
      <c r="AN4" s="206"/>
      <c r="AP4" s="27"/>
      <c r="BA4" s="1"/>
      <c r="BB4" s="1"/>
      <c r="BC4" s="1"/>
      <c r="BD4" s="1"/>
    </row>
    <row r="5" spans="1:64" ht="14.25" thickBot="1" x14ac:dyDescent="0.3">
      <c r="A5" s="252"/>
      <c r="C5" s="38"/>
      <c r="D5" s="9"/>
      <c r="E5" s="9"/>
      <c r="F5" s="9"/>
      <c r="G5" s="9"/>
      <c r="H5" s="9"/>
      <c r="I5" s="9"/>
      <c r="J5" s="9"/>
      <c r="K5" s="9"/>
      <c r="L5" s="9"/>
      <c r="M5" s="9"/>
      <c r="O5" s="9"/>
      <c r="P5" s="9"/>
      <c r="Q5" s="9"/>
      <c r="R5" s="9"/>
      <c r="S5" s="9"/>
      <c r="T5" s="9"/>
      <c r="U5" s="9"/>
      <c r="V5" s="9"/>
      <c r="W5" s="9"/>
      <c r="X5" s="9"/>
      <c r="Y5" s="9"/>
      <c r="Z5" s="9"/>
      <c r="AA5" s="9"/>
      <c r="AB5" s="379"/>
      <c r="AC5" s="37"/>
      <c r="AI5" s="110" t="s">
        <v>82</v>
      </c>
      <c r="AJ5" s="402">
        <f>Q_Date</f>
        <v>43757</v>
      </c>
      <c r="AK5" s="43"/>
      <c r="AL5" s="33"/>
      <c r="AM5" s="206"/>
      <c r="AN5" s="206"/>
      <c r="AO5" s="82" t="s">
        <v>251</v>
      </c>
      <c r="AP5" s="27"/>
      <c r="BA5" s="1"/>
      <c r="BB5" s="1"/>
      <c r="BC5" s="1"/>
      <c r="BD5" s="1"/>
    </row>
    <row r="6" spans="1:64" ht="15.75" x14ac:dyDescent="0.25">
      <c r="A6" s="252"/>
      <c r="C6" s="39"/>
      <c r="D6" s="9"/>
      <c r="E6" s="9"/>
      <c r="F6" s="9"/>
      <c r="G6" s="9"/>
      <c r="H6" s="9"/>
      <c r="I6" s="9"/>
      <c r="J6" s="9"/>
      <c r="K6" s="491" t="s">
        <v>328</v>
      </c>
      <c r="L6" s="491"/>
      <c r="M6" s="491"/>
      <c r="N6" s="491"/>
      <c r="O6" s="491"/>
      <c r="P6" s="491"/>
      <c r="Q6" s="491"/>
      <c r="R6" s="491"/>
      <c r="S6" s="9"/>
      <c r="T6" s="9"/>
      <c r="U6" s="9"/>
      <c r="V6" s="9"/>
      <c r="W6" s="9"/>
      <c r="X6" s="9"/>
      <c r="Y6" s="9"/>
      <c r="Z6" s="9"/>
      <c r="AA6" s="9"/>
      <c r="AB6" s="379"/>
      <c r="AC6" s="37"/>
      <c r="AI6" s="26">
        <f>EDATE(Q_Date,-120)</f>
        <v>40105</v>
      </c>
      <c r="AJ6" s="273">
        <f>AI6</f>
        <v>40105</v>
      </c>
      <c r="AK6" s="266" t="s">
        <v>272</v>
      </c>
      <c r="AL6" s="340"/>
      <c r="AM6" s="206"/>
      <c r="AN6" s="206"/>
      <c r="AO6" s="206">
        <f>Q_Date-AJ6</f>
        <v>3652</v>
      </c>
      <c r="AP6" s="27"/>
      <c r="BA6" s="1"/>
      <c r="BB6" s="1"/>
      <c r="BC6" s="1"/>
      <c r="BD6" s="1"/>
    </row>
    <row r="7" spans="1:64" ht="13.5" x14ac:dyDescent="0.25">
      <c r="A7" s="252"/>
      <c r="C7" s="8"/>
      <c r="D7" s="9"/>
      <c r="E7" s="9"/>
      <c r="F7" s="9"/>
      <c r="G7" s="9"/>
      <c r="H7" s="9"/>
      <c r="I7" s="9"/>
      <c r="J7" s="9"/>
      <c r="K7" s="9"/>
      <c r="L7" s="9"/>
      <c r="M7" s="9"/>
      <c r="O7" s="9"/>
      <c r="P7" s="9"/>
      <c r="Q7" s="9"/>
      <c r="R7" s="9"/>
      <c r="S7" s="9"/>
      <c r="T7" s="415" t="s">
        <v>345</v>
      </c>
      <c r="U7" s="384"/>
      <c r="V7" s="416" t="s">
        <v>346</v>
      </c>
      <c r="W7" s="384"/>
      <c r="X7" s="417" t="s">
        <v>347</v>
      </c>
      <c r="Y7" s="9"/>
      <c r="Z7" s="9"/>
      <c r="AA7" s="9"/>
      <c r="AB7" s="379"/>
      <c r="AC7" s="37"/>
      <c r="AE7" s="26"/>
      <c r="AF7" s="26"/>
      <c r="AG7" s="26"/>
      <c r="AH7" s="26"/>
      <c r="AI7" s="26">
        <f>EDATE($AJ5,-144)+1</f>
        <v>39375</v>
      </c>
      <c r="AJ7" s="273">
        <f>AI7</f>
        <v>39375</v>
      </c>
      <c r="AK7" s="81" t="s">
        <v>249</v>
      </c>
      <c r="AL7" s="341"/>
      <c r="AM7" s="206"/>
      <c r="AN7" s="206"/>
      <c r="AO7" s="206">
        <f>Q_Date-AJ7</f>
        <v>4382</v>
      </c>
      <c r="AP7" s="27"/>
      <c r="BA7" s="1"/>
      <c r="BB7" s="1"/>
      <c r="BC7" s="1"/>
      <c r="BD7" s="1"/>
    </row>
    <row r="8" spans="1:64" ht="15.75" x14ac:dyDescent="0.25">
      <c r="A8" s="252"/>
      <c r="C8" s="38"/>
      <c r="D8" s="9"/>
      <c r="E8" s="493" t="s">
        <v>356</v>
      </c>
      <c r="F8" s="493"/>
      <c r="G8" s="493"/>
      <c r="H8" s="493"/>
      <c r="I8" s="493"/>
      <c r="J8" s="493"/>
      <c r="K8" s="493"/>
      <c r="L8" s="493"/>
      <c r="M8" s="493"/>
      <c r="N8" s="493"/>
      <c r="O8" s="493"/>
      <c r="P8" s="493"/>
      <c r="Q8" s="493"/>
      <c r="R8" s="493"/>
      <c r="S8" s="493"/>
      <c r="T8" s="493"/>
      <c r="U8" s="493"/>
      <c r="V8" s="493"/>
      <c r="W8" s="493"/>
      <c r="X8" s="382"/>
      <c r="Y8" s="9"/>
      <c r="Z8" s="9"/>
      <c r="AA8" s="9"/>
      <c r="AB8" s="379"/>
      <c r="AC8" s="488" t="s">
        <v>69</v>
      </c>
      <c r="AD8" s="1"/>
      <c r="AI8" s="205">
        <f>EDATE($AI7,-24)</f>
        <v>38645</v>
      </c>
      <c r="AJ8" s="273">
        <f>AI8</f>
        <v>38645</v>
      </c>
      <c r="AK8" s="81" t="s">
        <v>250</v>
      </c>
      <c r="AL8" s="341"/>
      <c r="AM8" s="206"/>
      <c r="AN8" s="206"/>
      <c r="AO8" s="206">
        <f>Q_Date-AJ8</f>
        <v>5112</v>
      </c>
      <c r="AP8" s="27"/>
      <c r="BA8" s="1"/>
      <c r="BB8" s="1"/>
      <c r="BC8" s="1"/>
      <c r="BD8" s="1"/>
    </row>
    <row r="9" spans="1:64" ht="16.5" thickBot="1" x14ac:dyDescent="0.25">
      <c r="A9" s="252"/>
      <c r="C9" s="39"/>
      <c r="D9" s="9"/>
      <c r="E9" s="9"/>
      <c r="F9" s="9"/>
      <c r="G9" s="9"/>
      <c r="H9" s="9"/>
      <c r="I9" s="9"/>
      <c r="J9" s="9"/>
      <c r="K9" s="9"/>
      <c r="L9" s="9"/>
      <c r="M9" s="9"/>
      <c r="N9" s="9"/>
      <c r="O9" s="9"/>
      <c r="P9" s="9"/>
      <c r="Q9" s="9"/>
      <c r="R9" s="9"/>
      <c r="S9" s="9"/>
      <c r="T9" s="9"/>
      <c r="U9" s="9"/>
      <c r="V9" s="9"/>
      <c r="W9" s="9"/>
      <c r="X9" s="9"/>
      <c r="Y9" s="9"/>
      <c r="Z9" s="9"/>
      <c r="AA9" s="9"/>
      <c r="AB9" s="37" t="s">
        <v>81</v>
      </c>
      <c r="AC9" s="488" t="s">
        <v>415</v>
      </c>
      <c r="AF9" s="27"/>
      <c r="AQ9" s="1"/>
      <c r="AR9" s="1"/>
      <c r="AS9" s="1"/>
      <c r="AT9" s="1"/>
      <c r="BG9" s="1"/>
      <c r="BH9" s="1"/>
    </row>
    <row r="10" spans="1:64" ht="15.75" thickBot="1" x14ac:dyDescent="0.3">
      <c r="A10" s="252"/>
      <c r="C10" s="643" t="s">
        <v>121</v>
      </c>
      <c r="D10" s="645"/>
      <c r="E10" s="646" t="str">
        <f>IF(Entrants!D10=""," -",Entrants!D10)</f>
        <v xml:space="preserve"> -</v>
      </c>
      <c r="F10" s="647"/>
      <c r="G10" s="643" t="s">
        <v>120</v>
      </c>
      <c r="H10" s="644"/>
      <c r="I10" s="644"/>
      <c r="J10" s="648" t="str">
        <f>IF(Entrants!I10=""," -",Entrants!I10)</f>
        <v xml:space="preserve"> -</v>
      </c>
      <c r="K10" s="649"/>
      <c r="L10" s="649"/>
      <c r="M10" s="649"/>
      <c r="N10" s="640" t="s">
        <v>330</v>
      </c>
      <c r="O10" s="501"/>
      <c r="P10" s="648" t="str">
        <f>IF(Entrants!O10=""," -",Entrants!O10)</f>
        <v xml:space="preserve"> -</v>
      </c>
      <c r="Q10" s="649"/>
      <c r="R10" s="649"/>
      <c r="S10" s="649"/>
      <c r="T10" s="649"/>
      <c r="U10" s="640" t="s">
        <v>154</v>
      </c>
      <c r="V10" s="500"/>
      <c r="W10" s="638" t="str">
        <f>IF(Entrants!V10=""," -",Entrants!V10)</f>
        <v xml:space="preserve"> -</v>
      </c>
      <c r="X10" s="638"/>
      <c r="Y10" s="638"/>
      <c r="Z10" s="639"/>
      <c r="AA10" s="375"/>
      <c r="AB10" s="40" t="str">
        <f>IF(COUNTBLANK(C17:D43)=54,"",IF(E10="","Team Type Omitted",IF(AND(E10=5,COUNTBLANK(W10)=1),"County Name mitted",IF(E10&lt;4,(IF(OR(COUNTBLANK(J10)=1,COUNTBLANK(P10)=1,COUNTBLANK(W10)=1),"Team Name Omitted or incomplete","")),IF(E10=4,IF(OR(COUNTBLANK(P10)=1,COUNTBLANK(W10)=1),"Team Name Omitted or Incomplete",""),"")))))</f>
        <v/>
      </c>
      <c r="AC10" s="203" t="s">
        <v>325</v>
      </c>
      <c r="AE10" s="27"/>
      <c r="AP10" s="1"/>
      <c r="AQ10" s="1"/>
      <c r="AR10" s="1"/>
      <c r="AS10" s="1"/>
      <c r="BF10" s="1"/>
      <c r="BG10" s="1"/>
    </row>
    <row r="11" spans="1:64" ht="16.5" customHeight="1" x14ac:dyDescent="0.25">
      <c r="A11" s="252"/>
      <c r="C11" s="523"/>
      <c r="D11" s="524"/>
      <c r="E11" s="35"/>
      <c r="F11" s="35"/>
      <c r="G11" s="35"/>
      <c r="H11" s="35"/>
      <c r="I11" s="35"/>
      <c r="J11" s="35"/>
      <c r="K11" s="35"/>
      <c r="L11" s="35"/>
      <c r="M11" s="35"/>
      <c r="N11" s="502" t="s">
        <v>417</v>
      </c>
      <c r="O11" s="503"/>
      <c r="P11" s="503"/>
      <c r="Q11" s="503"/>
      <c r="R11" s="503"/>
      <c r="S11" s="503"/>
      <c r="T11" s="503"/>
      <c r="U11" s="503"/>
      <c r="V11" s="503"/>
      <c r="W11" s="503"/>
      <c r="X11" s="503"/>
      <c r="Y11" s="503"/>
      <c r="Z11" s="504"/>
      <c r="AA11" s="378"/>
      <c r="AB11" s="37"/>
      <c r="AC11" s="203" t="s">
        <v>324</v>
      </c>
      <c r="AE11" s="27"/>
      <c r="AP11" s="1"/>
      <c r="AQ11" s="1"/>
      <c r="AR11" s="1"/>
      <c r="AS11" s="1"/>
      <c r="BF11" s="1"/>
      <c r="BG11" s="1"/>
    </row>
    <row r="12" spans="1:64" ht="15" customHeight="1" x14ac:dyDescent="0.25">
      <c r="A12" s="252"/>
      <c r="C12" s="533" t="s">
        <v>1</v>
      </c>
      <c r="D12" s="534"/>
      <c r="E12" s="4"/>
      <c r="F12" s="22"/>
      <c r="G12" s="485"/>
      <c r="H12" s="2"/>
      <c r="I12" s="2"/>
      <c r="J12" s="2"/>
      <c r="K12" s="4"/>
      <c r="L12" s="4"/>
      <c r="M12" s="4"/>
      <c r="N12" s="512" t="s">
        <v>8</v>
      </c>
      <c r="O12" s="513"/>
      <c r="P12" s="513"/>
      <c r="Q12" s="513"/>
      <c r="R12" s="513"/>
      <c r="S12" s="513"/>
      <c r="T12" s="513"/>
      <c r="U12" s="513"/>
      <c r="V12" s="514"/>
      <c r="W12" s="512" t="s">
        <v>9</v>
      </c>
      <c r="X12" s="513"/>
      <c r="Y12" s="513"/>
      <c r="Z12" s="514"/>
      <c r="AA12" s="375"/>
      <c r="AB12" s="37"/>
      <c r="AC12" s="203" t="s">
        <v>33</v>
      </c>
      <c r="AE12" s="27"/>
      <c r="AP12" s="1"/>
      <c r="AQ12" s="1"/>
      <c r="AR12" s="1"/>
      <c r="AS12" s="1"/>
      <c r="BF12" s="1"/>
      <c r="BG12" s="1"/>
    </row>
    <row r="13" spans="1:64" ht="13.5" customHeight="1" x14ac:dyDescent="0.25">
      <c r="A13" s="252"/>
      <c r="C13" s="508" t="s">
        <v>315</v>
      </c>
      <c r="D13" s="528"/>
      <c r="E13" s="164"/>
      <c r="F13" s="22"/>
      <c r="G13" s="22"/>
      <c r="H13" s="159" t="s">
        <v>198</v>
      </c>
      <c r="I13" s="2"/>
      <c r="J13" s="2"/>
      <c r="K13" s="4"/>
      <c r="L13" s="637" t="s">
        <v>329</v>
      </c>
      <c r="M13" s="159" t="s">
        <v>219</v>
      </c>
      <c r="N13" s="456" t="s">
        <v>385</v>
      </c>
      <c r="O13" s="456" t="s">
        <v>387</v>
      </c>
      <c r="P13" s="456" t="s">
        <v>188</v>
      </c>
      <c r="Q13" s="508" t="s">
        <v>13</v>
      </c>
      <c r="R13" s="510"/>
      <c r="S13" s="457" t="s">
        <v>233</v>
      </c>
      <c r="T13" s="508" t="s">
        <v>16</v>
      </c>
      <c r="U13" s="509"/>
      <c r="V13" s="510"/>
      <c r="W13" s="517" t="s">
        <v>381</v>
      </c>
      <c r="X13" s="518"/>
      <c r="Y13" s="519" t="s">
        <v>18</v>
      </c>
      <c r="Z13" s="519" t="s">
        <v>20</v>
      </c>
      <c r="AA13" s="401"/>
      <c r="AB13" s="37"/>
      <c r="AC13" s="203" t="s">
        <v>34</v>
      </c>
      <c r="AE13" s="27"/>
      <c r="AP13" s="1"/>
      <c r="AQ13" s="1"/>
      <c r="AR13" s="1"/>
      <c r="AS13" s="1"/>
      <c r="BF13" s="1"/>
      <c r="BG13" s="1"/>
    </row>
    <row r="14" spans="1:64" ht="27" customHeight="1" x14ac:dyDescent="0.25">
      <c r="A14" s="252"/>
      <c r="C14" s="521" t="s">
        <v>316</v>
      </c>
      <c r="D14" s="522"/>
      <c r="E14" s="4"/>
      <c r="F14" s="4"/>
      <c r="G14" s="4"/>
      <c r="H14" s="159" t="s">
        <v>218</v>
      </c>
      <c r="I14" s="159" t="s">
        <v>216</v>
      </c>
      <c r="J14" s="159"/>
      <c r="K14" s="4"/>
      <c r="L14" s="637"/>
      <c r="M14" s="159" t="s">
        <v>220</v>
      </c>
      <c r="N14" s="455" t="s">
        <v>384</v>
      </c>
      <c r="O14" s="455" t="s">
        <v>386</v>
      </c>
      <c r="P14" s="455" t="s">
        <v>388</v>
      </c>
      <c r="Q14" s="511" t="s">
        <v>14</v>
      </c>
      <c r="R14" s="510"/>
      <c r="S14" s="6"/>
      <c r="T14" s="511" t="s">
        <v>17</v>
      </c>
      <c r="U14" s="509"/>
      <c r="V14" s="510"/>
      <c r="W14" s="517"/>
      <c r="X14" s="518"/>
      <c r="Y14" s="520"/>
      <c r="Z14" s="520"/>
      <c r="AA14" s="401"/>
      <c r="AB14" s="379"/>
      <c r="AC14" s="210" t="s">
        <v>40</v>
      </c>
      <c r="AE14" s="27"/>
      <c r="AP14" s="1"/>
      <c r="AQ14" s="1"/>
      <c r="AR14" s="1"/>
      <c r="AS14" s="1"/>
      <c r="BF14" s="1"/>
      <c r="BG14" s="1"/>
    </row>
    <row r="15" spans="1:64" ht="85.5" customHeight="1" x14ac:dyDescent="0.25">
      <c r="A15" s="253"/>
      <c r="C15" s="158" t="s">
        <v>21</v>
      </c>
      <c r="D15" s="159" t="s">
        <v>22</v>
      </c>
      <c r="E15" s="159" t="s">
        <v>2</v>
      </c>
      <c r="F15" s="159" t="s">
        <v>3</v>
      </c>
      <c r="G15" s="465" t="s">
        <v>413</v>
      </c>
      <c r="H15" s="159" t="s">
        <v>215</v>
      </c>
      <c r="I15" s="159" t="s">
        <v>217</v>
      </c>
      <c r="J15" s="159" t="s">
        <v>323</v>
      </c>
      <c r="K15" s="159" t="s">
        <v>4</v>
      </c>
      <c r="L15" s="637"/>
      <c r="M15" s="159" t="s">
        <v>221</v>
      </c>
      <c r="N15" s="10" t="s">
        <v>382</v>
      </c>
      <c r="O15" s="377"/>
      <c r="P15" s="10" t="s">
        <v>383</v>
      </c>
      <c r="Q15" s="10" t="s">
        <v>23</v>
      </c>
      <c r="R15" s="10" t="s">
        <v>24</v>
      </c>
      <c r="S15" s="10" t="s">
        <v>389</v>
      </c>
      <c r="T15" s="160" t="s">
        <v>123</v>
      </c>
      <c r="U15" s="161" t="s">
        <v>124</v>
      </c>
      <c r="V15" s="162" t="s">
        <v>30</v>
      </c>
      <c r="W15" s="163" t="s">
        <v>362</v>
      </c>
      <c r="X15" s="163" t="s">
        <v>363</v>
      </c>
      <c r="Y15" s="163" t="s">
        <v>214</v>
      </c>
      <c r="Z15" s="432" t="str">
        <f>CONCATENATE("Class (One class only may be entered) £",'Cost Calc'!AE8," (B)")</f>
        <v>Class (One class only may be entered) £9.5 (B)</v>
      </c>
      <c r="AA15" s="379"/>
      <c r="AB15" s="380"/>
      <c r="AC15" s="203" t="s">
        <v>41</v>
      </c>
      <c r="AD15" s="377"/>
      <c r="AE15" s="28"/>
      <c r="AF15" s="208"/>
      <c r="AG15" s="209" t="s">
        <v>311</v>
      </c>
      <c r="AH15" s="12" t="s">
        <v>313</v>
      </c>
      <c r="AI15" s="12" t="s">
        <v>312</v>
      </c>
      <c r="AJ15" s="209" t="s">
        <v>126</v>
      </c>
      <c r="AK15" s="12" t="s">
        <v>314</v>
      </c>
      <c r="AL15" s="12" t="s">
        <v>312</v>
      </c>
      <c r="AM15" s="377"/>
      <c r="AN15" s="377"/>
      <c r="AO15" s="377"/>
      <c r="AP15" s="377"/>
      <c r="AQ15" s="377"/>
      <c r="AR15" s="377"/>
      <c r="AS15" s="377"/>
      <c r="AT15" s="377"/>
      <c r="AU15" s="377"/>
      <c r="AV15" s="377"/>
      <c r="AW15" s="377"/>
      <c r="AX15" s="377"/>
      <c r="AY15" s="377"/>
      <c r="AZ15" s="377"/>
      <c r="BA15" s="377"/>
      <c r="BB15" s="377"/>
      <c r="BC15" s="377"/>
      <c r="BD15" s="377"/>
      <c r="BE15" s="377"/>
      <c r="BF15" s="1"/>
      <c r="BG15" s="1"/>
      <c r="BH15" s="377"/>
      <c r="BI15" s="377"/>
      <c r="BJ15" s="377"/>
      <c r="BK15" s="377"/>
      <c r="BL15" s="377"/>
    </row>
    <row r="16" spans="1:64" ht="14.25" thickBot="1" x14ac:dyDescent="0.3">
      <c r="A16" s="252"/>
      <c r="C16" s="18"/>
      <c r="D16" s="19"/>
      <c r="E16" s="19"/>
      <c r="F16" s="19"/>
      <c r="G16" s="19"/>
      <c r="H16" s="19"/>
      <c r="I16" s="19"/>
      <c r="J16" s="19"/>
      <c r="K16" s="19"/>
      <c r="L16" s="19"/>
      <c r="M16" s="350"/>
      <c r="N16" s="268">
        <f>'Cost Calc'!P8</f>
        <v>4</v>
      </c>
      <c r="O16" s="268">
        <f>'Cost Calc'!Q8</f>
        <v>4</v>
      </c>
      <c r="P16" s="268">
        <f>'Cost Calc'!R8</f>
        <v>4</v>
      </c>
      <c r="Q16" s="268">
        <f>'Cost Calc'!S8</f>
        <v>6.5</v>
      </c>
      <c r="R16" s="268">
        <f>'Cost Calc'!T8</f>
        <v>6.5</v>
      </c>
      <c r="S16" s="268">
        <f>'Cost Calc'!U8</f>
        <v>4</v>
      </c>
      <c r="T16" s="505">
        <f>'Cost Calc'!V8</f>
        <v>10</v>
      </c>
      <c r="U16" s="506"/>
      <c r="V16" s="507"/>
      <c r="W16" s="505">
        <f>'Cost Calc'!Y8</f>
        <v>4</v>
      </c>
      <c r="X16" s="507"/>
      <c r="Y16" s="268">
        <f>'Cost Calc'!AA8</f>
        <v>16.5</v>
      </c>
      <c r="Z16" s="10" t="str">
        <f>CONCATENATE("or £",'Cost Calc'!AC8," (A&amp;X)")</f>
        <v>or £9.5 (A&amp;X)</v>
      </c>
      <c r="AA16" s="10" t="s">
        <v>344</v>
      </c>
      <c r="AB16" s="10"/>
      <c r="AC16" s="203" t="s">
        <v>42</v>
      </c>
      <c r="AD16" s="214" t="s">
        <v>256</v>
      </c>
      <c r="AE16" s="215" t="s">
        <v>255</v>
      </c>
      <c r="AF16" s="216" t="s">
        <v>70</v>
      </c>
      <c r="AG16" s="217" t="s">
        <v>127</v>
      </c>
      <c r="AH16" s="218"/>
      <c r="AI16" s="218"/>
      <c r="AJ16" s="217" t="s">
        <v>127</v>
      </c>
      <c r="AK16" s="218"/>
      <c r="AL16" s="218"/>
      <c r="AM16" s="219" t="s">
        <v>71</v>
      </c>
      <c r="AN16" s="219" t="s">
        <v>72</v>
      </c>
      <c r="AO16" s="263"/>
      <c r="AP16" s="270" t="s">
        <v>278</v>
      </c>
      <c r="AQ16" s="270" t="s">
        <v>273</v>
      </c>
      <c r="AR16" s="270" t="s">
        <v>274</v>
      </c>
      <c r="AS16" s="270" t="s">
        <v>275</v>
      </c>
      <c r="AT16" s="263" t="s">
        <v>276</v>
      </c>
      <c r="AU16" s="263" t="s">
        <v>279</v>
      </c>
      <c r="AV16" s="263" t="s">
        <v>280</v>
      </c>
      <c r="AW16" s="220" t="s">
        <v>125</v>
      </c>
      <c r="AX16" s="220" t="s">
        <v>248</v>
      </c>
      <c r="AY16" s="219" t="s">
        <v>74</v>
      </c>
      <c r="AZ16" s="220" t="s">
        <v>197</v>
      </c>
      <c r="BA16" s="219" t="s">
        <v>75</v>
      </c>
      <c r="BB16" s="220" t="s">
        <v>254</v>
      </c>
      <c r="BC16" s="220" t="s">
        <v>253</v>
      </c>
      <c r="BD16" s="263" t="s">
        <v>268</v>
      </c>
      <c r="BE16" s="263" t="s">
        <v>269</v>
      </c>
      <c r="BF16" s="343" t="s">
        <v>73</v>
      </c>
      <c r="BG16" s="343" t="s">
        <v>76</v>
      </c>
      <c r="BH16" s="344" t="s">
        <v>77</v>
      </c>
      <c r="BI16" s="344" t="s">
        <v>107</v>
      </c>
      <c r="BJ16" s="342"/>
      <c r="BK16" s="346" t="s">
        <v>309</v>
      </c>
    </row>
    <row r="17" spans="1:63" ht="13.5" x14ac:dyDescent="0.25">
      <c r="A17" s="254">
        <v>17</v>
      </c>
      <c r="B17" s="393">
        <v>1</v>
      </c>
      <c r="C17" s="54"/>
      <c r="D17" s="55"/>
      <c r="E17" s="56"/>
      <c r="F17" s="100"/>
      <c r="G17" s="100"/>
      <c r="H17" s="58"/>
      <c r="I17" s="267"/>
      <c r="J17" s="267"/>
      <c r="K17" s="57"/>
      <c r="L17" s="388"/>
      <c r="M17" s="57"/>
      <c r="N17" s="57"/>
      <c r="O17" s="57"/>
      <c r="P17" s="57"/>
      <c r="Q17" s="57"/>
      <c r="R17" s="57"/>
      <c r="S17" s="57"/>
      <c r="T17" s="435"/>
      <c r="U17" s="57"/>
      <c r="V17" s="436"/>
      <c r="W17" s="100"/>
      <c r="X17" s="100"/>
      <c r="Y17" s="57"/>
      <c r="Z17" s="106"/>
      <c r="AA17" s="413">
        <f t="shared" ref="AA17:AA43" si="0">AC88</f>
        <v>0</v>
      </c>
      <c r="AB17" s="37" t="str">
        <f>CONCATENATE(BJ17,AE17,AM17,AO17,AP17,AQ17,AR17,AS17,AU17,AV17,AW17,AX17,AY17,AZ17,BA17,BH17,BI17,AN17,AT17,BD17)</f>
        <v/>
      </c>
      <c r="AC17" s="203" t="s">
        <v>43</v>
      </c>
      <c r="AD17" t="str">
        <f t="shared" ref="AD17:AD43" si="1">CHOOSE((1+COUNTBLANK(C17:D17)),AD$16,AE$16,"No Entrant")</f>
        <v>No Entrant</v>
      </c>
      <c r="AE17" s="27" t="str">
        <f t="shared" ref="AE17:AE36" si="2">IF(AD17=AE$16,CONCATENATE(AD17,"; "),"")</f>
        <v/>
      </c>
      <c r="AF17" s="207" t="str">
        <f t="shared" ref="AF17:AF41" si="3">IF(AD17&lt;&gt;"No Entrant",O58,"")</f>
        <v/>
      </c>
      <c r="AG17" s="207" t="str">
        <f t="shared" ref="AG17:AG43" si="4">IF(AND(AF17&gt;=18,COUNTBLANK(K17)=0),K17,"")</f>
        <v/>
      </c>
      <c r="AH17" s="207" t="str">
        <f t="shared" ref="AH17:AH24" si="5">CONCATENATE(AC17," ",COUNTIF(AG$17:AG$43,AC17))</f>
        <v>SA 0</v>
      </c>
      <c r="AI17" s="207" t="str">
        <f>IF(VALUE(MID(AH17,4,2))&gt;1,CONCATENATE(LEFT(AH17,3),"","has too many over 18s; "),"")</f>
        <v/>
      </c>
      <c r="AJ17" s="207" t="str">
        <f t="shared" ref="AJ17:AJ43" si="6">IF(AND(AF17&gt;=25,COUNTBLANK(K17)=0),K17,"")</f>
        <v/>
      </c>
      <c r="AK17" s="207" t="str">
        <f t="shared" ref="AK17:AK24" si="7">CONCATENATE(AC17," ",COUNTIF(AJ$17:AJ$43,AC17))</f>
        <v>SA 0</v>
      </c>
      <c r="AL17" s="207" t="str">
        <f>IF(VALUE(MID(AK17,4,2))&gt;0,CONCATENATE(LEFT(AK17,3),"","has a member aged 25+; "),"")</f>
        <v/>
      </c>
      <c r="AM17" t="str">
        <f t="shared" ref="AM17:AM43" si="8">IF(AND(COUNTBLANK(E17)=1,AD17&lt;&gt;"No Entrant",AF17&gt;17.999,COUNTBLANK(H17)=1),"Assumed adult without Member No; ",IF(AND(AD17&lt;&gt;"No Entrant",AF17&gt;17.999,COUNTBLANK(H17)=1),"Adult without Member No; ",""))</f>
        <v/>
      </c>
      <c r="AN17" s="333" t="str">
        <f>IF(OR(I17="",I17="N",I17="Y"),"",IF(VLOOKUP(I17,LastYrList!A:D,2,FALSE)="Did Not Shoot",CONCATENATE("Comp No. ",I17," Did Not Shoot Last Year!!"),""))</f>
        <v/>
      </c>
      <c r="AP17" t="str">
        <f>IF(AND(AD17&lt;&gt;"No Entrant",AF17&lt;17,COUNTBLANK(L17)=0),"Too young to be RO","")</f>
        <v/>
      </c>
      <c r="AQ17" s="333"/>
      <c r="AR17" s="333"/>
      <c r="AS17" s="333"/>
      <c r="AT17" t="str">
        <f t="shared" ref="AT17:AT43" si="9">IF(AND(AD17&lt;&gt;"No Entrant",AF17&lt;18,COUNTBLANK(L17)=0,COUNTBLANK(AP17)=1),"Warning - Young RO. Check!","")</f>
        <v/>
      </c>
      <c r="AU17" t="str">
        <f t="shared" ref="AU17:AU43" si="10">IF(AND($AD17&lt;&gt;"No Entrant",$AF17&lt;18,COUNTBLANK(M17)=0,COUNTBLANK($L17)=1),"Must be a Main Event entrant","")</f>
        <v/>
      </c>
      <c r="AV17" t="str">
        <f t="shared" ref="AV17:AV43" si="11">IF(AND(COUNTBLANK(C17:D17)&gt;0,COUNTBLANK(F17:Z17)&lt;19),"Data without entrant Name; ","")</f>
        <v/>
      </c>
      <c r="AW17" t="str">
        <f t="shared" ref="AW17:AW43" si="12">IF(AND(COUNTBLANK(T17)=1,COUNTBLANK(U17:V17)&lt;2),AW$16,"")</f>
        <v/>
      </c>
      <c r="AX17" t="str">
        <f t="shared" ref="AX17:AX43" si="13">IF(AND(COUNTBLANK(K17)=0,M17="N"),AX$16,"")</f>
        <v/>
      </c>
      <c r="AY17" t="str">
        <f t="shared" ref="AY17:AY43" si="14">IF(AND($AD17&lt;&gt;"No Entrant",(Q_Date-E17&lt;5112),COUNTBLANK(Y17)=0),"Too Young for Fullbore; ","")</f>
        <v/>
      </c>
      <c r="AZ17" t="str">
        <f>IF(AND(COUNTBLANK(L17)=1,M17="N",COUNTBLANK(N17:T17)+COUNTBLANK(W17:Z17)=11),AZ$16,"")</f>
        <v/>
      </c>
      <c r="BA17" t="str">
        <f t="shared" ref="BA17:BA43" si="15">IF(AND($AD17&lt;&gt;"No Entrant",(Q_Date-$E17&lt;4382),COUNTBLANK($Z17)=0),"Too Young for Small-bore; ","")</f>
        <v/>
      </c>
      <c r="BB17" t="str">
        <f t="shared" ref="BB17:BB43" si="16">IF(AND($AD17&lt;&gt;"No Entrant",(Q_Date-$E17=AO$7),COUNTBLANK($Z17)=0),BB$16,"")</f>
        <v/>
      </c>
      <c r="BC17" t="str">
        <f t="shared" ref="BC17:BC43" si="17">IF(AND($AD17&lt;&gt;"No Entrant",(Q_Date-$E17=AO$8),COUNTBLANK($Y17)=0),BC$16,"")</f>
        <v/>
      </c>
      <c r="BD17" t="str">
        <f t="shared" ref="BD17:BD43" si="18">IF(AND(M17&lt;&gt;"N",(2*(1-COUNTBLANK(S17))+1-COUNTBLANK(X17)+2*(1-COUNTBLANK(Y17))+1-COUNTBLANK(Z17)&gt;3)),"Too many Daylight-only Extra events",IF(2*(1-COUNTBLANK(S17))+1-COUNTBLANK(X17)+2*(1-COUNTBLANK(Y17))+1-COUNTBLANK(Z17)&gt;5,"Too many Daylight-only Extra events",""))</f>
        <v/>
      </c>
      <c r="BF17" s="338" t="str">
        <f t="shared" ref="BF17:BF43" si="19">IF(AD17="No Entrant","",IF(COUNTBLANK(L17)=1,5,IF(OR(M17="X",M17="x"),2,IF(OR(M17="N",M17="n"),5,1))))</f>
        <v/>
      </c>
      <c r="BG17" s="338">
        <f t="shared" ref="BG17:BG43" si="20">(5-COUNTBLANK(N17:R17))+(2*(1-COUNTBLANK(S17)))+(2*(1-COUNTBLANK(T17)))+(1-COUNTBLANK(X17))+(2*(1-COUNTBLANK(Y17)))+(1-COUNTBLANK(Z17))</f>
        <v>0</v>
      </c>
      <c r="BH17" s="337" t="str">
        <f>IF(BG17&gt;BF17,"Too Many Extra Events","")</f>
        <v/>
      </c>
      <c r="BI17" s="337" t="str">
        <f t="shared" ref="BI17:BI43" si="21">IF(AND($AD17&lt;&gt;"No Entrant",(Q_Date-E17&gt;5112),LEFT(K17,1)="J"),"Too Old for Junior Connaught","")</f>
        <v/>
      </c>
      <c r="BJ17" s="333"/>
      <c r="BK17" s="184" t="str">
        <f t="shared" ref="BK17:BK43" si="22">CONCATENATE(AN17,AT17,BB17,BC17)</f>
        <v/>
      </c>
    </row>
    <row r="18" spans="1:63" ht="13.5" x14ac:dyDescent="0.25">
      <c r="A18" s="254">
        <v>18</v>
      </c>
      <c r="B18" s="393">
        <v>2</v>
      </c>
      <c r="C18" s="60"/>
      <c r="D18" s="61"/>
      <c r="E18" s="62"/>
      <c r="F18" s="101"/>
      <c r="G18" s="101"/>
      <c r="H18" s="63"/>
      <c r="I18" s="103"/>
      <c r="J18" s="103"/>
      <c r="K18" s="103"/>
      <c r="L18" s="389"/>
      <c r="M18" s="59"/>
      <c r="N18" s="59"/>
      <c r="O18" s="59"/>
      <c r="P18" s="59"/>
      <c r="Q18" s="59"/>
      <c r="R18" s="59"/>
      <c r="S18" s="59"/>
      <c r="T18" s="101"/>
      <c r="U18" s="59"/>
      <c r="V18" s="103"/>
      <c r="W18" s="387"/>
      <c r="X18" s="387"/>
      <c r="Y18" s="59"/>
      <c r="Z18" s="107"/>
      <c r="AA18" s="413">
        <f t="shared" si="0"/>
        <v>0</v>
      </c>
      <c r="AB18" s="37" t="str">
        <f t="shared" ref="AB18:AB23" si="23">CONCATENATE(BJ18,AE18,AM18,AO18,AP18,AQ18,AR18,AS18,AU18,AV18,AW18,AX18,AY18,AZ18,BA18,BH18,BI18,AN18,AT18,BD18)</f>
        <v/>
      </c>
      <c r="AC18" s="203" t="s">
        <v>50</v>
      </c>
      <c r="AD18" t="str">
        <f t="shared" si="1"/>
        <v>No Entrant</v>
      </c>
      <c r="AE18" s="27" t="str">
        <f t="shared" si="2"/>
        <v/>
      </c>
      <c r="AF18" s="207" t="str">
        <f t="shared" si="3"/>
        <v/>
      </c>
      <c r="AG18" s="207" t="str">
        <f t="shared" si="4"/>
        <v/>
      </c>
      <c r="AH18" s="207" t="str">
        <f t="shared" si="5"/>
        <v>SB 0</v>
      </c>
      <c r="AI18" s="207" t="str">
        <f t="shared" ref="AI18:AI24" si="24">IF(VALUE(MID(AH18,4,2))&gt;1,CONCATENATE(LEFT(AH18,3),"","has too many over 25s; "),"")</f>
        <v/>
      </c>
      <c r="AJ18" s="207" t="str">
        <f t="shared" si="6"/>
        <v/>
      </c>
      <c r="AK18" s="207" t="str">
        <f t="shared" si="7"/>
        <v>SB 0</v>
      </c>
      <c r="AL18" s="207" t="str">
        <f t="shared" ref="AL18:AL24" si="25">IF(VALUE(MID(AK18,4,2))&gt;1,CONCATENATE(LEFT(AK18,3),"","has too many over 18s; "),"")</f>
        <v/>
      </c>
      <c r="AM18" t="str">
        <f t="shared" si="8"/>
        <v/>
      </c>
      <c r="AN18" s="333" t="str">
        <f>IF(OR(I18="",I18="N",I18="Y"),"",IF(VLOOKUP(I18,LastYrList!A:D,2,FALSE)="Did Not Shoot",CONCATENATE("Comp No. ",I18," Did Not Shoot Last Year!!"),""))</f>
        <v/>
      </c>
      <c r="AP18" t="str">
        <f t="shared" ref="AP18:AP43" si="26">IF(AND(AD18&lt;&gt;"No Entrant",AF18&lt;16,COUNTBLANK(L18)=0),"Too young to be RO","")</f>
        <v/>
      </c>
      <c r="AQ18" s="333"/>
      <c r="AR18" s="333"/>
      <c r="AS18" s="333"/>
      <c r="AT18" t="str">
        <f t="shared" si="9"/>
        <v/>
      </c>
      <c r="AU18" t="str">
        <f t="shared" si="10"/>
        <v/>
      </c>
      <c r="AV18" t="str">
        <f t="shared" si="11"/>
        <v/>
      </c>
      <c r="AW18" t="str">
        <f t="shared" si="12"/>
        <v/>
      </c>
      <c r="AX18" t="str">
        <f t="shared" si="13"/>
        <v/>
      </c>
      <c r="AY18" t="str">
        <f t="shared" si="14"/>
        <v/>
      </c>
      <c r="AZ18" t="str">
        <f t="shared" ref="AZ18:AZ43" si="27">IF(AND(COUNTBLANK(L18)=1,M18="N",COUNTBLANK(N18:T18)+COUNTBLANK(W18:Z18)=11),AZ$16,"")</f>
        <v/>
      </c>
      <c r="BA18" t="str">
        <f t="shared" si="15"/>
        <v/>
      </c>
      <c r="BB18" t="str">
        <f t="shared" si="16"/>
        <v/>
      </c>
      <c r="BC18" t="str">
        <f t="shared" si="17"/>
        <v/>
      </c>
      <c r="BD18" t="str">
        <f t="shared" si="18"/>
        <v/>
      </c>
      <c r="BF18" s="338" t="str">
        <f t="shared" si="19"/>
        <v/>
      </c>
      <c r="BG18" s="338">
        <f t="shared" si="20"/>
        <v>0</v>
      </c>
      <c r="BH18" s="337" t="str">
        <f t="shared" ref="BH18:BH43" si="28">IF(BG18&gt;BF18,"Too Many Extra Events","")</f>
        <v/>
      </c>
      <c r="BI18" s="337" t="str">
        <f t="shared" si="21"/>
        <v/>
      </c>
      <c r="BJ18" s="333"/>
      <c r="BK18" s="184" t="str">
        <f t="shared" si="22"/>
        <v/>
      </c>
    </row>
    <row r="19" spans="1:63" ht="13.5" x14ac:dyDescent="0.25">
      <c r="A19" s="254">
        <v>19</v>
      </c>
      <c r="B19" s="393">
        <v>3</v>
      </c>
      <c r="C19" s="60"/>
      <c r="D19" s="61"/>
      <c r="E19" s="62"/>
      <c r="F19" s="101"/>
      <c r="G19" s="101"/>
      <c r="H19" s="63"/>
      <c r="I19" s="103"/>
      <c r="J19" s="103"/>
      <c r="K19" s="59"/>
      <c r="L19" s="389"/>
      <c r="M19" s="59"/>
      <c r="N19" s="59"/>
      <c r="O19" s="59"/>
      <c r="P19" s="59"/>
      <c r="Q19" s="59"/>
      <c r="R19" s="59"/>
      <c r="S19" s="59"/>
      <c r="T19" s="101"/>
      <c r="U19" s="59"/>
      <c r="V19" s="103"/>
      <c r="W19" s="387"/>
      <c r="X19" s="387"/>
      <c r="Y19" s="59"/>
      <c r="Z19" s="107"/>
      <c r="AA19" s="413">
        <f t="shared" si="0"/>
        <v>0</v>
      </c>
      <c r="AB19" s="37" t="str">
        <f t="shared" si="23"/>
        <v/>
      </c>
      <c r="AC19" s="203" t="s">
        <v>51</v>
      </c>
      <c r="AD19" t="str">
        <f t="shared" si="1"/>
        <v>No Entrant</v>
      </c>
      <c r="AE19" s="27" t="str">
        <f t="shared" si="2"/>
        <v/>
      </c>
      <c r="AF19" s="207" t="str">
        <f t="shared" si="3"/>
        <v/>
      </c>
      <c r="AG19" s="207" t="str">
        <f t="shared" si="4"/>
        <v/>
      </c>
      <c r="AH19" s="207" t="str">
        <f t="shared" si="5"/>
        <v>SC 0</v>
      </c>
      <c r="AI19" s="207" t="str">
        <f t="shared" si="24"/>
        <v/>
      </c>
      <c r="AJ19" s="207" t="str">
        <f t="shared" si="6"/>
        <v/>
      </c>
      <c r="AK19" s="207" t="str">
        <f t="shared" si="7"/>
        <v>SC 0</v>
      </c>
      <c r="AL19" s="207" t="str">
        <f t="shared" si="25"/>
        <v/>
      </c>
      <c r="AM19" t="str">
        <f t="shared" si="8"/>
        <v/>
      </c>
      <c r="AN19" s="333" t="str">
        <f>IF(OR(I19="",I19="N",I19="Y"),"",IF(VLOOKUP(I19,LastYrList!A:D,2,FALSE)="Did Not Shoot",CONCATENATE("Comp No. ",I19," Did Not Shoot Last Year!!"),""))</f>
        <v/>
      </c>
      <c r="AP19" t="str">
        <f t="shared" si="26"/>
        <v/>
      </c>
      <c r="AQ19" s="333"/>
      <c r="AR19" s="333"/>
      <c r="AS19" s="333"/>
      <c r="AT19" t="str">
        <f t="shared" si="9"/>
        <v/>
      </c>
      <c r="AU19" t="str">
        <f t="shared" si="10"/>
        <v/>
      </c>
      <c r="AV19" t="str">
        <f t="shared" si="11"/>
        <v/>
      </c>
      <c r="AW19" t="str">
        <f t="shared" si="12"/>
        <v/>
      </c>
      <c r="AX19" t="str">
        <f t="shared" si="13"/>
        <v/>
      </c>
      <c r="AY19" t="str">
        <f t="shared" si="14"/>
        <v/>
      </c>
      <c r="AZ19" t="str">
        <f t="shared" si="27"/>
        <v/>
      </c>
      <c r="BA19" t="str">
        <f t="shared" si="15"/>
        <v/>
      </c>
      <c r="BB19" t="str">
        <f t="shared" si="16"/>
        <v/>
      </c>
      <c r="BC19" t="str">
        <f t="shared" si="17"/>
        <v/>
      </c>
      <c r="BD19" t="str">
        <f t="shared" si="18"/>
        <v/>
      </c>
      <c r="BF19" s="338" t="str">
        <f t="shared" si="19"/>
        <v/>
      </c>
      <c r="BG19" s="338">
        <f t="shared" si="20"/>
        <v>0</v>
      </c>
      <c r="BH19" s="337" t="str">
        <f t="shared" si="28"/>
        <v/>
      </c>
      <c r="BI19" s="337" t="str">
        <f t="shared" si="21"/>
        <v/>
      </c>
      <c r="BJ19" s="333"/>
      <c r="BK19" s="184" t="str">
        <f>CONCATENATE(AN19,AT19,BB19,BC19)</f>
        <v/>
      </c>
    </row>
    <row r="20" spans="1:63" ht="13.5" x14ac:dyDescent="0.25">
      <c r="A20" s="254">
        <v>20</v>
      </c>
      <c r="B20" s="393">
        <v>4</v>
      </c>
      <c r="C20" s="60"/>
      <c r="D20" s="61"/>
      <c r="E20" s="62"/>
      <c r="F20" s="101"/>
      <c r="G20" s="101"/>
      <c r="H20" s="63"/>
      <c r="I20" s="103"/>
      <c r="J20" s="103"/>
      <c r="K20" s="59"/>
      <c r="L20" s="389"/>
      <c r="M20" s="59"/>
      <c r="N20" s="59"/>
      <c r="O20" s="59"/>
      <c r="P20" s="59"/>
      <c r="Q20" s="59"/>
      <c r="R20" s="59"/>
      <c r="S20" s="59"/>
      <c r="T20" s="101"/>
      <c r="U20" s="59"/>
      <c r="V20" s="103"/>
      <c r="W20" s="387"/>
      <c r="X20" s="387"/>
      <c r="Y20" s="59"/>
      <c r="Z20" s="107"/>
      <c r="AA20" s="413">
        <f t="shared" si="0"/>
        <v>0</v>
      </c>
      <c r="AB20" s="37" t="str">
        <f>CONCATENATE(BJ20,AE20,AM20,AO20,AP20,AQ20,AR20,AS20,AU20,AV20,AW20,AX20,AY20,AZ20,BA20,BH20,BI20,AN20,AT20,BD20)</f>
        <v/>
      </c>
      <c r="AC20" s="203" t="s">
        <v>52</v>
      </c>
      <c r="AD20" t="str">
        <f t="shared" si="1"/>
        <v>No Entrant</v>
      </c>
      <c r="AE20" s="27" t="str">
        <f t="shared" si="2"/>
        <v/>
      </c>
      <c r="AF20" s="207" t="str">
        <f t="shared" si="3"/>
        <v/>
      </c>
      <c r="AG20" s="207" t="str">
        <f t="shared" si="4"/>
        <v/>
      </c>
      <c r="AH20" s="207" t="str">
        <f t="shared" si="5"/>
        <v>SD 0</v>
      </c>
      <c r="AI20" s="207" t="str">
        <f t="shared" si="24"/>
        <v/>
      </c>
      <c r="AJ20" s="207" t="str">
        <f t="shared" si="6"/>
        <v/>
      </c>
      <c r="AK20" s="207" t="str">
        <f t="shared" si="7"/>
        <v>SD 0</v>
      </c>
      <c r="AL20" s="207" t="str">
        <f t="shared" si="25"/>
        <v/>
      </c>
      <c r="AM20" t="str">
        <f t="shared" si="8"/>
        <v/>
      </c>
      <c r="AN20" s="333" t="str">
        <f>IF(OR(I20="",I20="N",I20="Y"),"",IF(VLOOKUP(I20,LastYrList!A:D,2,FALSE)="Did Not Shoot",CONCATENATE("Comp No. ",I20," Did Not Shoot Last Year!!"),""))</f>
        <v/>
      </c>
      <c r="AP20" t="str">
        <f t="shared" si="26"/>
        <v/>
      </c>
      <c r="AQ20" s="333"/>
      <c r="AR20" s="333"/>
      <c r="AS20" s="333"/>
      <c r="AT20" t="str">
        <f t="shared" si="9"/>
        <v/>
      </c>
      <c r="AU20" t="str">
        <f t="shared" si="10"/>
        <v/>
      </c>
      <c r="AV20" t="str">
        <f t="shared" si="11"/>
        <v/>
      </c>
      <c r="AW20" t="str">
        <f t="shared" si="12"/>
        <v/>
      </c>
      <c r="AX20" t="str">
        <f t="shared" si="13"/>
        <v/>
      </c>
      <c r="AY20" t="str">
        <f t="shared" si="14"/>
        <v/>
      </c>
      <c r="AZ20" t="str">
        <f t="shared" si="27"/>
        <v/>
      </c>
      <c r="BA20" t="str">
        <f t="shared" si="15"/>
        <v/>
      </c>
      <c r="BB20" t="str">
        <f t="shared" si="16"/>
        <v/>
      </c>
      <c r="BC20" t="str">
        <f t="shared" si="17"/>
        <v/>
      </c>
      <c r="BD20" t="str">
        <f t="shared" si="18"/>
        <v/>
      </c>
      <c r="BF20" s="338" t="str">
        <f t="shared" si="19"/>
        <v/>
      </c>
      <c r="BG20" s="338">
        <f t="shared" si="20"/>
        <v>0</v>
      </c>
      <c r="BH20" s="337" t="str">
        <f t="shared" si="28"/>
        <v/>
      </c>
      <c r="BI20" s="337" t="str">
        <f t="shared" si="21"/>
        <v/>
      </c>
      <c r="BJ20" s="333"/>
      <c r="BK20" s="184" t="str">
        <f t="shared" si="22"/>
        <v/>
      </c>
    </row>
    <row r="21" spans="1:63" ht="13.5" x14ac:dyDescent="0.25">
      <c r="A21" s="254">
        <v>21</v>
      </c>
      <c r="B21" s="393">
        <v>5</v>
      </c>
      <c r="C21" s="60"/>
      <c r="D21" s="61"/>
      <c r="E21" s="62"/>
      <c r="F21" s="101"/>
      <c r="G21" s="101"/>
      <c r="H21" s="63"/>
      <c r="I21" s="103"/>
      <c r="J21" s="103"/>
      <c r="K21" s="59"/>
      <c r="L21" s="389"/>
      <c r="M21" s="59"/>
      <c r="N21" s="59"/>
      <c r="O21" s="59"/>
      <c r="P21" s="59"/>
      <c r="Q21" s="59"/>
      <c r="R21" s="59"/>
      <c r="S21" s="59"/>
      <c r="T21" s="101"/>
      <c r="U21" s="59"/>
      <c r="V21" s="103"/>
      <c r="W21" s="387"/>
      <c r="X21" s="387"/>
      <c r="Y21" s="59"/>
      <c r="Z21" s="107"/>
      <c r="AA21" s="413">
        <f t="shared" si="0"/>
        <v>0</v>
      </c>
      <c r="AB21" s="37" t="str">
        <f t="shared" si="23"/>
        <v/>
      </c>
      <c r="AC21" s="203" t="s">
        <v>53</v>
      </c>
      <c r="AD21" t="str">
        <f t="shared" si="1"/>
        <v>No Entrant</v>
      </c>
      <c r="AE21" s="27" t="str">
        <f t="shared" si="2"/>
        <v/>
      </c>
      <c r="AF21" s="207" t="str">
        <f t="shared" si="3"/>
        <v/>
      </c>
      <c r="AG21" s="207" t="str">
        <f t="shared" si="4"/>
        <v/>
      </c>
      <c r="AH21" s="207" t="str">
        <f t="shared" si="5"/>
        <v>SE 0</v>
      </c>
      <c r="AI21" s="207" t="str">
        <f t="shared" si="24"/>
        <v/>
      </c>
      <c r="AJ21" s="207" t="str">
        <f t="shared" si="6"/>
        <v/>
      </c>
      <c r="AK21" s="207" t="str">
        <f t="shared" si="7"/>
        <v>SE 0</v>
      </c>
      <c r="AL21" s="207" t="str">
        <f t="shared" si="25"/>
        <v/>
      </c>
      <c r="AM21" t="str">
        <f t="shared" si="8"/>
        <v/>
      </c>
      <c r="AN21" s="333" t="str">
        <f>IF(OR(I21="",I21="N",I21="Y"),"",IF(VLOOKUP(I21,LastYrList!A:D,2,FALSE)="Did Not Shoot",CONCATENATE("Comp No. ",I21," Did Not Shoot Last Year!!"),""))</f>
        <v/>
      </c>
      <c r="AP21" t="str">
        <f t="shared" si="26"/>
        <v/>
      </c>
      <c r="AQ21" s="333"/>
      <c r="AR21" s="333"/>
      <c r="AS21" s="333"/>
      <c r="AT21" t="str">
        <f t="shared" si="9"/>
        <v/>
      </c>
      <c r="AU21" t="str">
        <f t="shared" si="10"/>
        <v/>
      </c>
      <c r="AV21" t="str">
        <f t="shared" si="11"/>
        <v/>
      </c>
      <c r="AW21" t="str">
        <f t="shared" si="12"/>
        <v/>
      </c>
      <c r="AX21" t="str">
        <f t="shared" si="13"/>
        <v/>
      </c>
      <c r="AY21" t="str">
        <f t="shared" si="14"/>
        <v/>
      </c>
      <c r="AZ21" t="str">
        <f t="shared" si="27"/>
        <v/>
      </c>
      <c r="BA21" t="str">
        <f t="shared" si="15"/>
        <v/>
      </c>
      <c r="BB21" t="str">
        <f t="shared" si="16"/>
        <v/>
      </c>
      <c r="BC21" t="str">
        <f t="shared" si="17"/>
        <v/>
      </c>
      <c r="BD21" t="str">
        <f t="shared" si="18"/>
        <v/>
      </c>
      <c r="BF21" s="338" t="str">
        <f t="shared" si="19"/>
        <v/>
      </c>
      <c r="BG21" s="338">
        <f t="shared" si="20"/>
        <v>0</v>
      </c>
      <c r="BH21" s="337" t="str">
        <f>IF(BG21&gt;BF21,"Too Many Extra Events","")</f>
        <v/>
      </c>
      <c r="BI21" s="337" t="str">
        <f t="shared" si="21"/>
        <v/>
      </c>
      <c r="BJ21" s="333"/>
      <c r="BK21" s="184" t="str">
        <f t="shared" si="22"/>
        <v/>
      </c>
    </row>
    <row r="22" spans="1:63" ht="13.5" x14ac:dyDescent="0.25">
      <c r="A22" s="254">
        <v>22</v>
      </c>
      <c r="B22" s="393">
        <v>6</v>
      </c>
      <c r="C22" s="60"/>
      <c r="D22" s="61"/>
      <c r="E22" s="62"/>
      <c r="F22" s="101"/>
      <c r="G22" s="101"/>
      <c r="H22" s="63"/>
      <c r="I22" s="103"/>
      <c r="J22" s="103"/>
      <c r="K22" s="59"/>
      <c r="L22" s="389"/>
      <c r="M22" s="59"/>
      <c r="N22" s="59"/>
      <c r="O22" s="59"/>
      <c r="P22" s="59"/>
      <c r="Q22" s="59"/>
      <c r="R22" s="59"/>
      <c r="S22" s="59"/>
      <c r="T22" s="101"/>
      <c r="U22" s="59"/>
      <c r="V22" s="103"/>
      <c r="W22" s="387"/>
      <c r="X22" s="387"/>
      <c r="Y22" s="59"/>
      <c r="Z22" s="107"/>
      <c r="AA22" s="413">
        <f t="shared" si="0"/>
        <v>0</v>
      </c>
      <c r="AB22" s="37" t="str">
        <f>CONCATENATE(BJ22,AE22,AM22,AO22,AP22,AQ22,AR22,AS22,AU22,AV22,AW22,AX22,AY22,AZ22,BA22,BH22,BI22,AN22,AT22,BD22)</f>
        <v/>
      </c>
      <c r="AC22" s="203" t="s">
        <v>54</v>
      </c>
      <c r="AD22" t="str">
        <f t="shared" si="1"/>
        <v>No Entrant</v>
      </c>
      <c r="AE22" s="27" t="str">
        <f t="shared" si="2"/>
        <v/>
      </c>
      <c r="AF22" s="207" t="str">
        <f t="shared" si="3"/>
        <v/>
      </c>
      <c r="AG22" s="207" t="str">
        <f t="shared" si="4"/>
        <v/>
      </c>
      <c r="AH22" s="207" t="str">
        <f t="shared" si="5"/>
        <v>SF 0</v>
      </c>
      <c r="AI22" s="207" t="str">
        <f t="shared" si="24"/>
        <v/>
      </c>
      <c r="AJ22" s="207" t="str">
        <f t="shared" si="6"/>
        <v/>
      </c>
      <c r="AK22" s="207" t="str">
        <f t="shared" si="7"/>
        <v>SF 0</v>
      </c>
      <c r="AL22" s="207" t="str">
        <f t="shared" si="25"/>
        <v/>
      </c>
      <c r="AM22" t="str">
        <f t="shared" si="8"/>
        <v/>
      </c>
      <c r="AN22" s="333" t="str">
        <f>IF(OR(I22="",I22="N",I22="Y"),"",IF(VLOOKUP(I22,LastYrList!A:D,2,FALSE)="Did Not Shoot",CONCATENATE("Comp No. ",I22," Did Not Shoot Last Year!!"),""))</f>
        <v/>
      </c>
      <c r="AP22" t="str">
        <f t="shared" si="26"/>
        <v/>
      </c>
      <c r="AQ22" s="333"/>
      <c r="AR22" s="333"/>
      <c r="AS22" s="333"/>
      <c r="AT22" t="str">
        <f t="shared" si="9"/>
        <v/>
      </c>
      <c r="AU22" t="str">
        <f t="shared" si="10"/>
        <v/>
      </c>
      <c r="AV22" t="str">
        <f t="shared" si="11"/>
        <v/>
      </c>
      <c r="AW22" t="str">
        <f t="shared" si="12"/>
        <v/>
      </c>
      <c r="AX22" t="str">
        <f t="shared" si="13"/>
        <v/>
      </c>
      <c r="AY22" t="str">
        <f t="shared" si="14"/>
        <v/>
      </c>
      <c r="AZ22" t="str">
        <f t="shared" si="27"/>
        <v/>
      </c>
      <c r="BA22" t="str">
        <f t="shared" si="15"/>
        <v/>
      </c>
      <c r="BB22" t="str">
        <f t="shared" si="16"/>
        <v/>
      </c>
      <c r="BC22" t="str">
        <f t="shared" si="17"/>
        <v/>
      </c>
      <c r="BD22" t="str">
        <f t="shared" si="18"/>
        <v/>
      </c>
      <c r="BF22" s="338" t="str">
        <f t="shared" si="19"/>
        <v/>
      </c>
      <c r="BG22" s="338">
        <f t="shared" si="20"/>
        <v>0</v>
      </c>
      <c r="BH22" s="337" t="str">
        <f t="shared" si="28"/>
        <v/>
      </c>
      <c r="BI22" s="337" t="str">
        <f t="shared" si="21"/>
        <v/>
      </c>
      <c r="BJ22" s="333"/>
      <c r="BK22" s="184" t="str">
        <f>CONCATENATE(AN22,AT22,BB22,BC22)</f>
        <v/>
      </c>
    </row>
    <row r="23" spans="1:63" ht="13.5" x14ac:dyDescent="0.25">
      <c r="A23" s="254">
        <v>23</v>
      </c>
      <c r="B23" s="393">
        <v>7</v>
      </c>
      <c r="C23" s="60"/>
      <c r="D23" s="61"/>
      <c r="E23" s="62"/>
      <c r="F23" s="101"/>
      <c r="G23" s="101"/>
      <c r="H23" s="63"/>
      <c r="I23" s="103"/>
      <c r="J23" s="103"/>
      <c r="K23" s="59"/>
      <c r="L23" s="389"/>
      <c r="M23" s="59"/>
      <c r="N23" s="59"/>
      <c r="O23" s="59"/>
      <c r="P23" s="59"/>
      <c r="Q23" s="59"/>
      <c r="R23" s="59"/>
      <c r="S23" s="59"/>
      <c r="T23" s="101"/>
      <c r="U23" s="59"/>
      <c r="V23" s="103"/>
      <c r="W23" s="387"/>
      <c r="X23" s="387"/>
      <c r="Y23" s="59"/>
      <c r="Z23" s="107"/>
      <c r="AA23" s="413">
        <f t="shared" si="0"/>
        <v>0</v>
      </c>
      <c r="AB23" s="37" t="str">
        <f t="shared" si="23"/>
        <v/>
      </c>
      <c r="AC23" s="203" t="s">
        <v>55</v>
      </c>
      <c r="AD23" t="str">
        <f t="shared" si="1"/>
        <v>No Entrant</v>
      </c>
      <c r="AE23" s="27" t="str">
        <f t="shared" si="2"/>
        <v/>
      </c>
      <c r="AF23" s="207" t="str">
        <f t="shared" si="3"/>
        <v/>
      </c>
      <c r="AG23" s="207" t="str">
        <f t="shared" si="4"/>
        <v/>
      </c>
      <c r="AH23" s="207" t="str">
        <f t="shared" si="5"/>
        <v>SG 0</v>
      </c>
      <c r="AI23" s="207" t="str">
        <f t="shared" si="24"/>
        <v/>
      </c>
      <c r="AJ23" s="207" t="str">
        <f t="shared" si="6"/>
        <v/>
      </c>
      <c r="AK23" s="207" t="str">
        <f t="shared" si="7"/>
        <v>SG 0</v>
      </c>
      <c r="AL23" s="207" t="str">
        <f t="shared" si="25"/>
        <v/>
      </c>
      <c r="AM23" t="str">
        <f t="shared" si="8"/>
        <v/>
      </c>
      <c r="AN23" s="333" t="str">
        <f>IF(OR(I23="",I23="N",I23="Y"),"",IF(VLOOKUP(I23,LastYrList!A:D,2,FALSE)="Did Not Shoot",CONCATENATE("Comp No. ",I23," Did Not Shoot Last Year!!"),""))</f>
        <v/>
      </c>
      <c r="AP23" t="str">
        <f t="shared" si="26"/>
        <v/>
      </c>
      <c r="AQ23" s="333"/>
      <c r="AR23" s="333"/>
      <c r="AS23" s="333"/>
      <c r="AT23" t="str">
        <f t="shared" si="9"/>
        <v/>
      </c>
      <c r="AU23" t="str">
        <f t="shared" si="10"/>
        <v/>
      </c>
      <c r="AV23" t="str">
        <f t="shared" si="11"/>
        <v/>
      </c>
      <c r="AW23" t="str">
        <f t="shared" si="12"/>
        <v/>
      </c>
      <c r="AX23" t="str">
        <f t="shared" si="13"/>
        <v/>
      </c>
      <c r="AY23" t="str">
        <f t="shared" si="14"/>
        <v/>
      </c>
      <c r="AZ23" t="str">
        <f t="shared" si="27"/>
        <v/>
      </c>
      <c r="BA23" t="str">
        <f t="shared" si="15"/>
        <v/>
      </c>
      <c r="BB23" t="str">
        <f t="shared" si="16"/>
        <v/>
      </c>
      <c r="BC23" t="str">
        <f t="shared" si="17"/>
        <v/>
      </c>
      <c r="BD23" t="str">
        <f t="shared" si="18"/>
        <v/>
      </c>
      <c r="BF23" s="338" t="str">
        <f t="shared" si="19"/>
        <v/>
      </c>
      <c r="BG23" s="338">
        <f t="shared" si="20"/>
        <v>0</v>
      </c>
      <c r="BH23" s="337" t="str">
        <f t="shared" si="28"/>
        <v/>
      </c>
      <c r="BI23" s="337" t="str">
        <f t="shared" si="21"/>
        <v/>
      </c>
      <c r="BJ23" s="333"/>
      <c r="BK23" s="184" t="str">
        <f>CONCATENATE(AN23,AT23,BB23,BC23)</f>
        <v/>
      </c>
    </row>
    <row r="24" spans="1:63" ht="13.5" x14ac:dyDescent="0.25">
      <c r="A24" s="254">
        <v>24</v>
      </c>
      <c r="B24" s="393">
        <v>8</v>
      </c>
      <c r="C24" s="60"/>
      <c r="D24" s="61"/>
      <c r="E24" s="62"/>
      <c r="F24" s="101"/>
      <c r="G24" s="101"/>
      <c r="H24" s="63"/>
      <c r="I24" s="103"/>
      <c r="J24" s="103"/>
      <c r="K24" s="59"/>
      <c r="L24" s="389"/>
      <c r="M24" s="59"/>
      <c r="N24" s="59"/>
      <c r="O24" s="59"/>
      <c r="P24" s="59"/>
      <c r="Q24" s="59"/>
      <c r="R24" s="59"/>
      <c r="S24" s="59"/>
      <c r="T24" s="101"/>
      <c r="U24" s="59"/>
      <c r="V24" s="103"/>
      <c r="W24" s="387"/>
      <c r="X24" s="387"/>
      <c r="Y24" s="59"/>
      <c r="Z24" s="107"/>
      <c r="AA24" s="413">
        <f t="shared" si="0"/>
        <v>0</v>
      </c>
      <c r="AB24" s="37" t="str">
        <f>CONCATENATE(BJ24,AE24,AM24,AO24,AP24,AQ24,AR24,AS24,AU24,AV24,AW24,AX24,AY24,AZ24,BA24,BH24,BI24,AN24,AT24,BD24)</f>
        <v/>
      </c>
      <c r="AC24" s="211" t="s">
        <v>108</v>
      </c>
      <c r="AD24" t="str">
        <f t="shared" si="1"/>
        <v>No Entrant</v>
      </c>
      <c r="AE24" s="27" t="str">
        <f t="shared" si="2"/>
        <v/>
      </c>
      <c r="AF24" s="207" t="str">
        <f t="shared" si="3"/>
        <v/>
      </c>
      <c r="AG24" s="207" t="str">
        <f t="shared" si="4"/>
        <v/>
      </c>
      <c r="AH24" s="207" t="str">
        <f t="shared" si="5"/>
        <v>SH 0</v>
      </c>
      <c r="AI24" s="207" t="str">
        <f t="shared" si="24"/>
        <v/>
      </c>
      <c r="AJ24" s="207" t="str">
        <f t="shared" si="6"/>
        <v/>
      </c>
      <c r="AK24" s="207" t="str">
        <f t="shared" si="7"/>
        <v>SH 0</v>
      </c>
      <c r="AL24" s="207" t="str">
        <f t="shared" si="25"/>
        <v/>
      </c>
      <c r="AM24" t="str">
        <f t="shared" si="8"/>
        <v/>
      </c>
      <c r="AN24" s="333" t="str">
        <f>IF(OR(I24="",I24="N",I24="Y"),"",IF(VLOOKUP(I24,LastYrList!A:D,2,FALSE)="Did Not Shoot",CONCATENATE("Comp No. ",I24," Did Not Shoot Last Year!!"),""))</f>
        <v/>
      </c>
      <c r="AP24" t="str">
        <f t="shared" si="26"/>
        <v/>
      </c>
      <c r="AQ24" s="333"/>
      <c r="AR24" s="333"/>
      <c r="AS24" s="333"/>
      <c r="AT24" t="str">
        <f t="shared" si="9"/>
        <v/>
      </c>
      <c r="AU24" t="str">
        <f t="shared" si="10"/>
        <v/>
      </c>
      <c r="AV24" t="str">
        <f t="shared" si="11"/>
        <v/>
      </c>
      <c r="AW24" t="str">
        <f t="shared" si="12"/>
        <v/>
      </c>
      <c r="AX24" t="str">
        <f t="shared" si="13"/>
        <v/>
      </c>
      <c r="AY24" t="str">
        <f t="shared" si="14"/>
        <v/>
      </c>
      <c r="AZ24" t="str">
        <f t="shared" si="27"/>
        <v/>
      </c>
      <c r="BA24" t="str">
        <f t="shared" si="15"/>
        <v/>
      </c>
      <c r="BB24" t="str">
        <f t="shared" si="16"/>
        <v/>
      </c>
      <c r="BC24" t="str">
        <f t="shared" si="17"/>
        <v/>
      </c>
      <c r="BD24" t="str">
        <f t="shared" si="18"/>
        <v/>
      </c>
      <c r="BF24" s="338" t="str">
        <f t="shared" si="19"/>
        <v/>
      </c>
      <c r="BG24" s="338">
        <f t="shared" si="20"/>
        <v>0</v>
      </c>
      <c r="BH24" s="337" t="str">
        <f t="shared" si="28"/>
        <v/>
      </c>
      <c r="BI24" s="337" t="str">
        <f t="shared" si="21"/>
        <v/>
      </c>
      <c r="BJ24" s="333"/>
      <c r="BK24" s="184" t="str">
        <f t="shared" si="22"/>
        <v/>
      </c>
    </row>
    <row r="25" spans="1:63" ht="13.5" x14ac:dyDescent="0.25">
      <c r="A25" s="254">
        <v>25</v>
      </c>
      <c r="B25" s="393">
        <v>9</v>
      </c>
      <c r="C25" s="60"/>
      <c r="D25" s="61"/>
      <c r="E25" s="62"/>
      <c r="F25" s="101"/>
      <c r="G25" s="101"/>
      <c r="H25" s="63"/>
      <c r="I25" s="103"/>
      <c r="J25" s="103"/>
      <c r="K25" s="59"/>
      <c r="L25" s="389"/>
      <c r="M25" s="59"/>
      <c r="N25" s="59"/>
      <c r="O25" s="59"/>
      <c r="P25" s="59"/>
      <c r="Q25" s="59"/>
      <c r="R25" s="59"/>
      <c r="S25" s="59"/>
      <c r="T25" s="101"/>
      <c r="U25" s="59"/>
      <c r="V25" s="103"/>
      <c r="W25" s="387"/>
      <c r="X25" s="387"/>
      <c r="Y25" s="59"/>
      <c r="Z25" s="107"/>
      <c r="AA25" s="413">
        <f t="shared" si="0"/>
        <v>0</v>
      </c>
      <c r="AB25" s="37" t="str">
        <f t="shared" ref="AB25:AB43" si="29">CONCATENATE(BJ25,AE25,AM25,AO25,AP25,AQ25,AR25,AS25,AU25,AV25,AW25,AX25,AY25,AZ25,BA25,BH25,BI25,AN25,AT25,BD25)</f>
        <v/>
      </c>
      <c r="AC25" s="203" t="s">
        <v>68</v>
      </c>
      <c r="AD25" t="str">
        <f t="shared" si="1"/>
        <v>No Entrant</v>
      </c>
      <c r="AE25" s="27" t="str">
        <f t="shared" si="2"/>
        <v/>
      </c>
      <c r="AF25" s="207" t="str">
        <f t="shared" si="3"/>
        <v/>
      </c>
      <c r="AG25" s="207" t="str">
        <f t="shared" si="4"/>
        <v/>
      </c>
      <c r="AH25" s="27"/>
      <c r="AI25" s="27"/>
      <c r="AJ25" s="207" t="str">
        <f t="shared" si="6"/>
        <v/>
      </c>
      <c r="AK25" s="27"/>
      <c r="AL25" s="27"/>
      <c r="AM25" t="str">
        <f t="shared" si="8"/>
        <v/>
      </c>
      <c r="AN25" s="333" t="str">
        <f>IF(OR(I25="",I25="N",I25="Y"),"",IF(VLOOKUP(I25,LastYrList!A:D,2,FALSE)="Did Not Shoot",CONCATENATE("Comp No. ",I25," Did Not Shoot Last Year!!"),""))</f>
        <v/>
      </c>
      <c r="AP25" t="str">
        <f t="shared" si="26"/>
        <v/>
      </c>
      <c r="AQ25" s="333"/>
      <c r="AR25" s="333"/>
      <c r="AS25" s="333"/>
      <c r="AT25" t="str">
        <f t="shared" si="9"/>
        <v/>
      </c>
      <c r="AU25" t="str">
        <f t="shared" si="10"/>
        <v/>
      </c>
      <c r="AV25" t="str">
        <f t="shared" si="11"/>
        <v/>
      </c>
      <c r="AW25" t="str">
        <f t="shared" si="12"/>
        <v/>
      </c>
      <c r="AX25" t="str">
        <f t="shared" si="13"/>
        <v/>
      </c>
      <c r="AY25" t="str">
        <f t="shared" si="14"/>
        <v/>
      </c>
      <c r="AZ25" t="str">
        <f t="shared" si="27"/>
        <v/>
      </c>
      <c r="BA25" t="str">
        <f t="shared" si="15"/>
        <v/>
      </c>
      <c r="BB25" t="str">
        <f t="shared" si="16"/>
        <v/>
      </c>
      <c r="BC25" t="str">
        <f t="shared" si="17"/>
        <v/>
      </c>
      <c r="BD25" t="str">
        <f t="shared" si="18"/>
        <v/>
      </c>
      <c r="BF25" s="338" t="str">
        <f t="shared" si="19"/>
        <v/>
      </c>
      <c r="BG25" s="338">
        <f t="shared" si="20"/>
        <v>0</v>
      </c>
      <c r="BH25" s="337" t="str">
        <f t="shared" si="28"/>
        <v/>
      </c>
      <c r="BI25" s="337" t="str">
        <f t="shared" si="21"/>
        <v/>
      </c>
      <c r="BJ25" s="333"/>
      <c r="BK25" s="184" t="str">
        <f t="shared" si="22"/>
        <v/>
      </c>
    </row>
    <row r="26" spans="1:63" ht="13.5" x14ac:dyDescent="0.25">
      <c r="A26" s="254">
        <v>26</v>
      </c>
      <c r="B26" s="393">
        <v>10</v>
      </c>
      <c r="C26" s="60"/>
      <c r="D26" s="61"/>
      <c r="E26" s="62"/>
      <c r="F26" s="101"/>
      <c r="G26" s="101"/>
      <c r="H26" s="63"/>
      <c r="I26" s="103"/>
      <c r="J26" s="103"/>
      <c r="K26" s="59"/>
      <c r="L26" s="389"/>
      <c r="M26" s="59"/>
      <c r="N26" s="59"/>
      <c r="O26" s="59"/>
      <c r="P26" s="59"/>
      <c r="Q26" s="59"/>
      <c r="R26" s="59"/>
      <c r="S26" s="59"/>
      <c r="T26" s="101"/>
      <c r="U26" s="59"/>
      <c r="V26" s="103"/>
      <c r="W26" s="387"/>
      <c r="X26" s="387"/>
      <c r="Y26" s="59"/>
      <c r="Z26" s="107"/>
      <c r="AA26" s="413">
        <f t="shared" si="0"/>
        <v>0</v>
      </c>
      <c r="AB26" s="37" t="str">
        <f t="shared" si="29"/>
        <v/>
      </c>
      <c r="AC26" s="212" t="s">
        <v>122</v>
      </c>
      <c r="AD26" t="str">
        <f t="shared" si="1"/>
        <v>No Entrant</v>
      </c>
      <c r="AE26" s="27" t="str">
        <f t="shared" si="2"/>
        <v/>
      </c>
      <c r="AF26" s="207" t="str">
        <f t="shared" si="3"/>
        <v/>
      </c>
      <c r="AG26" s="207" t="str">
        <f t="shared" si="4"/>
        <v/>
      </c>
      <c r="AH26" s="27"/>
      <c r="AI26" s="27"/>
      <c r="AJ26" s="207" t="str">
        <f t="shared" si="6"/>
        <v/>
      </c>
      <c r="AK26" s="27"/>
      <c r="AL26" s="27"/>
      <c r="AM26" t="str">
        <f t="shared" si="8"/>
        <v/>
      </c>
      <c r="AN26" s="333" t="str">
        <f>IF(OR(I26="",I26="N",I26="Y"),"",IF(VLOOKUP(I26,LastYrList!A:D,2,FALSE)="Did Not Shoot",CONCATENATE("Comp No. ",I26," Did Not Shoot Last Year!!"),""))</f>
        <v/>
      </c>
      <c r="AP26" t="str">
        <f t="shared" si="26"/>
        <v/>
      </c>
      <c r="AQ26" s="333"/>
      <c r="AR26" s="333"/>
      <c r="AS26" s="333"/>
      <c r="AT26" t="str">
        <f t="shared" si="9"/>
        <v/>
      </c>
      <c r="AU26" t="str">
        <f t="shared" si="10"/>
        <v/>
      </c>
      <c r="AV26" t="str">
        <f t="shared" si="11"/>
        <v/>
      </c>
      <c r="AW26" t="str">
        <f t="shared" si="12"/>
        <v/>
      </c>
      <c r="AX26" t="str">
        <f t="shared" si="13"/>
        <v/>
      </c>
      <c r="AY26" t="str">
        <f t="shared" si="14"/>
        <v/>
      </c>
      <c r="AZ26" t="str">
        <f t="shared" si="27"/>
        <v/>
      </c>
      <c r="BA26" t="str">
        <f t="shared" si="15"/>
        <v/>
      </c>
      <c r="BB26" t="str">
        <f t="shared" si="16"/>
        <v/>
      </c>
      <c r="BC26" t="str">
        <f t="shared" si="17"/>
        <v/>
      </c>
      <c r="BD26" t="str">
        <f t="shared" si="18"/>
        <v/>
      </c>
      <c r="BF26" s="338" t="str">
        <f t="shared" si="19"/>
        <v/>
      </c>
      <c r="BG26" s="338">
        <f t="shared" si="20"/>
        <v>0</v>
      </c>
      <c r="BH26" s="337" t="str">
        <f t="shared" si="28"/>
        <v/>
      </c>
      <c r="BI26" s="337" t="str">
        <f t="shared" si="21"/>
        <v/>
      </c>
      <c r="BJ26" s="333"/>
      <c r="BK26" s="184" t="str">
        <f t="shared" si="22"/>
        <v/>
      </c>
    </row>
    <row r="27" spans="1:63" ht="13.5" x14ac:dyDescent="0.25">
      <c r="A27" s="254">
        <v>27</v>
      </c>
      <c r="B27" s="393">
        <v>11</v>
      </c>
      <c r="C27" s="60"/>
      <c r="D27" s="61"/>
      <c r="E27" s="62"/>
      <c r="F27" s="101"/>
      <c r="G27" s="101"/>
      <c r="H27" s="63"/>
      <c r="I27" s="103"/>
      <c r="J27" s="103"/>
      <c r="K27" s="59"/>
      <c r="L27" s="389"/>
      <c r="M27" s="59"/>
      <c r="N27" s="59"/>
      <c r="O27" s="59"/>
      <c r="P27" s="59"/>
      <c r="Q27" s="59"/>
      <c r="R27" s="59"/>
      <c r="S27" s="59"/>
      <c r="T27" s="101"/>
      <c r="U27" s="59"/>
      <c r="V27" s="103"/>
      <c r="W27" s="387"/>
      <c r="X27" s="387"/>
      <c r="Y27" s="59"/>
      <c r="Z27" s="107"/>
      <c r="AA27" s="413">
        <f t="shared" si="0"/>
        <v>0</v>
      </c>
      <c r="AB27" s="37" t="str">
        <f t="shared" si="29"/>
        <v/>
      </c>
      <c r="AC27" s="203" t="s">
        <v>28</v>
      </c>
      <c r="AD27" t="str">
        <f t="shared" si="1"/>
        <v>No Entrant</v>
      </c>
      <c r="AE27" s="27" t="str">
        <f t="shared" si="2"/>
        <v/>
      </c>
      <c r="AF27" s="207" t="str">
        <f t="shared" si="3"/>
        <v/>
      </c>
      <c r="AG27" s="207" t="str">
        <f t="shared" si="4"/>
        <v/>
      </c>
      <c r="AH27" s="27"/>
      <c r="AI27" s="27"/>
      <c r="AJ27" s="207" t="str">
        <f t="shared" si="6"/>
        <v/>
      </c>
      <c r="AK27" s="27"/>
      <c r="AL27" s="27"/>
      <c r="AM27" t="str">
        <f t="shared" si="8"/>
        <v/>
      </c>
      <c r="AN27" s="333" t="str">
        <f>IF(OR(I27="",I27="N",I27="Y"),"",IF(VLOOKUP(I27,LastYrList!A:D,2,FALSE)="Did Not Shoot",CONCATENATE("Comp No. ",I27," Did Not Shoot Last Year!!"),""))</f>
        <v/>
      </c>
      <c r="AP27" t="str">
        <f t="shared" si="26"/>
        <v/>
      </c>
      <c r="AQ27" s="333"/>
      <c r="AR27" s="333"/>
      <c r="AS27" s="333"/>
      <c r="AT27" t="str">
        <f t="shared" si="9"/>
        <v/>
      </c>
      <c r="AU27" t="str">
        <f t="shared" si="10"/>
        <v/>
      </c>
      <c r="AV27" t="str">
        <f t="shared" si="11"/>
        <v/>
      </c>
      <c r="AW27" t="str">
        <f t="shared" si="12"/>
        <v/>
      </c>
      <c r="AX27" t="str">
        <f t="shared" si="13"/>
        <v/>
      </c>
      <c r="AY27" t="str">
        <f t="shared" si="14"/>
        <v/>
      </c>
      <c r="AZ27" t="str">
        <f t="shared" si="27"/>
        <v/>
      </c>
      <c r="BA27" t="str">
        <f t="shared" si="15"/>
        <v/>
      </c>
      <c r="BB27" t="str">
        <f t="shared" si="16"/>
        <v/>
      </c>
      <c r="BC27" t="str">
        <f t="shared" si="17"/>
        <v/>
      </c>
      <c r="BD27" t="str">
        <f t="shared" si="18"/>
        <v/>
      </c>
      <c r="BF27" s="338" t="str">
        <f t="shared" si="19"/>
        <v/>
      </c>
      <c r="BG27" s="338">
        <f t="shared" si="20"/>
        <v>0</v>
      </c>
      <c r="BH27" s="337" t="str">
        <f t="shared" si="28"/>
        <v/>
      </c>
      <c r="BI27" s="337" t="str">
        <f t="shared" si="21"/>
        <v/>
      </c>
      <c r="BJ27" s="333"/>
      <c r="BK27" s="184" t="str">
        <f t="shared" si="22"/>
        <v/>
      </c>
    </row>
    <row r="28" spans="1:63" ht="13.5" x14ac:dyDescent="0.25">
      <c r="A28" s="254">
        <v>28</v>
      </c>
      <c r="B28" s="393">
        <v>12</v>
      </c>
      <c r="C28" s="60"/>
      <c r="D28" s="61"/>
      <c r="E28" s="62"/>
      <c r="F28" s="101"/>
      <c r="G28" s="101"/>
      <c r="H28" s="63"/>
      <c r="I28" s="103"/>
      <c r="J28" s="103"/>
      <c r="K28" s="59"/>
      <c r="L28" s="389"/>
      <c r="M28" s="59"/>
      <c r="N28" s="59"/>
      <c r="O28" s="59"/>
      <c r="P28" s="59"/>
      <c r="Q28" s="59"/>
      <c r="R28" s="59"/>
      <c r="S28" s="59"/>
      <c r="T28" s="101"/>
      <c r="U28" s="59"/>
      <c r="V28" s="103"/>
      <c r="W28" s="387"/>
      <c r="X28" s="387"/>
      <c r="Y28" s="59"/>
      <c r="Z28" s="107"/>
      <c r="AA28" s="413">
        <f t="shared" si="0"/>
        <v>0</v>
      </c>
      <c r="AB28" s="37" t="str">
        <f t="shared" si="29"/>
        <v/>
      </c>
      <c r="AC28" s="203" t="s">
        <v>36</v>
      </c>
      <c r="AD28" t="str">
        <f t="shared" si="1"/>
        <v>No Entrant</v>
      </c>
      <c r="AE28" s="27" t="str">
        <f t="shared" si="2"/>
        <v/>
      </c>
      <c r="AF28" s="207" t="str">
        <f t="shared" si="3"/>
        <v/>
      </c>
      <c r="AG28" s="207" t="str">
        <f t="shared" si="4"/>
        <v/>
      </c>
      <c r="AH28" s="27"/>
      <c r="AI28" s="27"/>
      <c r="AJ28" s="207" t="str">
        <f t="shared" si="6"/>
        <v/>
      </c>
      <c r="AK28" s="27"/>
      <c r="AL28" s="27"/>
      <c r="AM28" t="str">
        <f t="shared" si="8"/>
        <v/>
      </c>
      <c r="AN28" s="333" t="str">
        <f>IF(OR(I28="",I28="N",I28="Y"),"",IF(VLOOKUP(I28,LastYrList!A:D,2,FALSE)="Did Not Shoot",CONCATENATE("Comp No. ",I28," Did Not Shoot Last Year!!"),""))</f>
        <v/>
      </c>
      <c r="AP28" t="str">
        <f t="shared" si="26"/>
        <v/>
      </c>
      <c r="AQ28" s="333"/>
      <c r="AR28" s="333"/>
      <c r="AS28" s="333"/>
      <c r="AT28" t="str">
        <f t="shared" si="9"/>
        <v/>
      </c>
      <c r="AU28" t="str">
        <f t="shared" si="10"/>
        <v/>
      </c>
      <c r="AV28" t="str">
        <f t="shared" si="11"/>
        <v/>
      </c>
      <c r="AW28" t="str">
        <f t="shared" si="12"/>
        <v/>
      </c>
      <c r="AX28" t="str">
        <f t="shared" si="13"/>
        <v/>
      </c>
      <c r="AY28" t="str">
        <f t="shared" si="14"/>
        <v/>
      </c>
      <c r="AZ28" t="str">
        <f t="shared" si="27"/>
        <v/>
      </c>
      <c r="BA28" t="str">
        <f t="shared" si="15"/>
        <v/>
      </c>
      <c r="BB28" t="str">
        <f t="shared" si="16"/>
        <v/>
      </c>
      <c r="BC28" t="str">
        <f t="shared" si="17"/>
        <v/>
      </c>
      <c r="BD28" t="str">
        <f t="shared" si="18"/>
        <v/>
      </c>
      <c r="BF28" s="338" t="str">
        <f t="shared" si="19"/>
        <v/>
      </c>
      <c r="BG28" s="338">
        <f t="shared" si="20"/>
        <v>0</v>
      </c>
      <c r="BH28" s="337" t="str">
        <f t="shared" si="28"/>
        <v/>
      </c>
      <c r="BI28" s="337" t="str">
        <f t="shared" si="21"/>
        <v/>
      </c>
      <c r="BJ28" s="333"/>
      <c r="BK28" s="184" t="str">
        <f t="shared" si="22"/>
        <v/>
      </c>
    </row>
    <row r="29" spans="1:63" ht="13.5" x14ac:dyDescent="0.25">
      <c r="A29" s="254">
        <v>29</v>
      </c>
      <c r="B29" s="393">
        <v>13</v>
      </c>
      <c r="C29" s="60"/>
      <c r="D29" s="61"/>
      <c r="E29" s="62"/>
      <c r="F29" s="101"/>
      <c r="G29" s="101"/>
      <c r="H29" s="63"/>
      <c r="I29" s="103"/>
      <c r="J29" s="103"/>
      <c r="K29" s="59"/>
      <c r="L29" s="389"/>
      <c r="M29" s="59"/>
      <c r="N29" s="59"/>
      <c r="O29" s="59"/>
      <c r="P29" s="59"/>
      <c r="Q29" s="59"/>
      <c r="R29" s="59"/>
      <c r="S29" s="59"/>
      <c r="T29" s="101"/>
      <c r="U29" s="59"/>
      <c r="V29" s="103"/>
      <c r="W29" s="387"/>
      <c r="X29" s="387"/>
      <c r="Y29" s="59"/>
      <c r="Z29" s="107"/>
      <c r="AA29" s="413">
        <f t="shared" si="0"/>
        <v>0</v>
      </c>
      <c r="AB29" s="37" t="str">
        <f t="shared" si="29"/>
        <v/>
      </c>
      <c r="AC29" s="203" t="s">
        <v>69</v>
      </c>
      <c r="AD29" t="str">
        <f t="shared" si="1"/>
        <v>No Entrant</v>
      </c>
      <c r="AE29" s="27" t="str">
        <f t="shared" si="2"/>
        <v/>
      </c>
      <c r="AF29" s="207" t="str">
        <f t="shared" si="3"/>
        <v/>
      </c>
      <c r="AG29" s="207" t="str">
        <f t="shared" si="4"/>
        <v/>
      </c>
      <c r="AH29" s="27"/>
      <c r="AI29" s="27"/>
      <c r="AJ29" s="207" t="str">
        <f t="shared" si="6"/>
        <v/>
      </c>
      <c r="AK29" s="27"/>
      <c r="AL29" s="27"/>
      <c r="AM29" t="str">
        <f t="shared" si="8"/>
        <v/>
      </c>
      <c r="AN29" s="333" t="str">
        <f>IF(OR(I29="",I29="N",I29="Y"),"",IF(VLOOKUP(I29,LastYrList!A:D,2,FALSE)="Did Not Shoot",CONCATENATE("Comp No. ",I29," Did Not Shoot Last Year!!"),""))</f>
        <v/>
      </c>
      <c r="AP29" t="str">
        <f t="shared" si="26"/>
        <v/>
      </c>
      <c r="AQ29" s="333"/>
      <c r="AR29" s="333"/>
      <c r="AS29" s="333"/>
      <c r="AT29" t="str">
        <f t="shared" si="9"/>
        <v/>
      </c>
      <c r="AU29" t="str">
        <f t="shared" si="10"/>
        <v/>
      </c>
      <c r="AV29" t="str">
        <f t="shared" si="11"/>
        <v/>
      </c>
      <c r="AW29" t="str">
        <f t="shared" si="12"/>
        <v/>
      </c>
      <c r="AX29" t="str">
        <f t="shared" si="13"/>
        <v/>
      </c>
      <c r="AY29" t="str">
        <f t="shared" si="14"/>
        <v/>
      </c>
      <c r="AZ29" t="str">
        <f t="shared" si="27"/>
        <v/>
      </c>
      <c r="BA29" t="str">
        <f t="shared" si="15"/>
        <v/>
      </c>
      <c r="BB29" t="str">
        <f t="shared" si="16"/>
        <v/>
      </c>
      <c r="BC29" t="str">
        <f t="shared" si="17"/>
        <v/>
      </c>
      <c r="BD29" t="str">
        <f t="shared" si="18"/>
        <v/>
      </c>
      <c r="BF29" s="338" t="str">
        <f t="shared" si="19"/>
        <v/>
      </c>
      <c r="BG29" s="338">
        <f t="shared" si="20"/>
        <v>0</v>
      </c>
      <c r="BH29" s="337" t="str">
        <f t="shared" si="28"/>
        <v/>
      </c>
      <c r="BI29" s="337" t="str">
        <f t="shared" si="21"/>
        <v/>
      </c>
      <c r="BJ29" s="333"/>
      <c r="BK29" s="184" t="str">
        <f t="shared" si="22"/>
        <v/>
      </c>
    </row>
    <row r="30" spans="1:63" ht="13.5" x14ac:dyDescent="0.25">
      <c r="A30" s="254">
        <v>30</v>
      </c>
      <c r="B30" s="393">
        <v>14</v>
      </c>
      <c r="C30" s="60"/>
      <c r="D30" s="61"/>
      <c r="E30" s="62"/>
      <c r="F30" s="101"/>
      <c r="G30" s="101"/>
      <c r="H30" s="63"/>
      <c r="I30" s="103"/>
      <c r="J30" s="103"/>
      <c r="K30" s="59"/>
      <c r="L30" s="389"/>
      <c r="M30" s="59"/>
      <c r="N30" s="59"/>
      <c r="O30" s="59"/>
      <c r="P30" s="59"/>
      <c r="Q30" s="59"/>
      <c r="R30" s="59"/>
      <c r="S30" s="59"/>
      <c r="T30" s="101"/>
      <c r="U30" s="59"/>
      <c r="V30" s="103"/>
      <c r="W30" s="387"/>
      <c r="X30" s="387"/>
      <c r="Y30" s="59"/>
      <c r="Z30" s="107"/>
      <c r="AA30" s="413">
        <f t="shared" si="0"/>
        <v>0</v>
      </c>
      <c r="AB30" s="37" t="str">
        <f t="shared" si="29"/>
        <v/>
      </c>
      <c r="AC30" s="203" t="s">
        <v>35</v>
      </c>
      <c r="AD30" t="str">
        <f t="shared" si="1"/>
        <v>No Entrant</v>
      </c>
      <c r="AE30" s="27" t="str">
        <f t="shared" si="2"/>
        <v/>
      </c>
      <c r="AF30" s="207" t="str">
        <f t="shared" si="3"/>
        <v/>
      </c>
      <c r="AG30" s="207" t="str">
        <f t="shared" si="4"/>
        <v/>
      </c>
      <c r="AH30" s="27"/>
      <c r="AI30" s="27"/>
      <c r="AJ30" s="207" t="str">
        <f t="shared" si="6"/>
        <v/>
      </c>
      <c r="AK30" s="27"/>
      <c r="AL30" s="27"/>
      <c r="AM30" t="str">
        <f t="shared" si="8"/>
        <v/>
      </c>
      <c r="AN30" s="333" t="str">
        <f>IF(OR(I30="",I30="N",I30="Y"),"",IF(VLOOKUP(I30,LastYrList!A:D,2,FALSE)="Did Not Shoot",CONCATENATE("Comp No. ",I30," Did Not Shoot Last Year!!"),""))</f>
        <v/>
      </c>
      <c r="AP30" t="str">
        <f t="shared" si="26"/>
        <v/>
      </c>
      <c r="AQ30" s="333"/>
      <c r="AR30" s="333"/>
      <c r="AS30" s="333"/>
      <c r="AT30" t="str">
        <f t="shared" si="9"/>
        <v/>
      </c>
      <c r="AU30" t="str">
        <f t="shared" si="10"/>
        <v/>
      </c>
      <c r="AV30" t="str">
        <f t="shared" si="11"/>
        <v/>
      </c>
      <c r="AW30" t="str">
        <f t="shared" si="12"/>
        <v/>
      </c>
      <c r="AX30" t="str">
        <f t="shared" si="13"/>
        <v/>
      </c>
      <c r="AY30" t="str">
        <f t="shared" si="14"/>
        <v/>
      </c>
      <c r="AZ30" t="str">
        <f t="shared" si="27"/>
        <v/>
      </c>
      <c r="BA30" t="str">
        <f t="shared" si="15"/>
        <v/>
      </c>
      <c r="BB30" t="str">
        <f t="shared" si="16"/>
        <v/>
      </c>
      <c r="BC30" t="str">
        <f t="shared" si="17"/>
        <v/>
      </c>
      <c r="BD30" t="str">
        <f t="shared" si="18"/>
        <v/>
      </c>
      <c r="BF30" s="338" t="str">
        <f t="shared" si="19"/>
        <v/>
      </c>
      <c r="BG30" s="338">
        <f t="shared" si="20"/>
        <v>0</v>
      </c>
      <c r="BH30" s="337" t="str">
        <f t="shared" si="28"/>
        <v/>
      </c>
      <c r="BI30" s="337" t="str">
        <f t="shared" si="21"/>
        <v/>
      </c>
      <c r="BJ30" s="333"/>
      <c r="BK30" s="184" t="str">
        <f t="shared" si="22"/>
        <v/>
      </c>
    </row>
    <row r="31" spans="1:63" ht="13.5" x14ac:dyDescent="0.25">
      <c r="A31" s="254">
        <v>31</v>
      </c>
      <c r="B31" s="393">
        <v>15</v>
      </c>
      <c r="C31" s="60"/>
      <c r="D31" s="61"/>
      <c r="E31" s="62"/>
      <c r="F31" s="101"/>
      <c r="G31" s="101"/>
      <c r="H31" s="63"/>
      <c r="I31" s="103"/>
      <c r="J31" s="103"/>
      <c r="K31" s="59"/>
      <c r="L31" s="389"/>
      <c r="M31" s="59"/>
      <c r="N31" s="59"/>
      <c r="O31" s="59"/>
      <c r="P31" s="59"/>
      <c r="Q31" s="59"/>
      <c r="R31" s="59"/>
      <c r="S31" s="59"/>
      <c r="T31" s="101"/>
      <c r="U31" s="59"/>
      <c r="V31" s="103"/>
      <c r="W31" s="387"/>
      <c r="X31" s="387"/>
      <c r="Y31" s="59"/>
      <c r="Z31" s="107"/>
      <c r="AA31" s="413">
        <f t="shared" si="0"/>
        <v>0</v>
      </c>
      <c r="AB31" s="37" t="str">
        <f t="shared" si="29"/>
        <v/>
      </c>
      <c r="AC31" s="203" t="s">
        <v>67</v>
      </c>
      <c r="AD31" t="str">
        <f t="shared" si="1"/>
        <v>No Entrant</v>
      </c>
      <c r="AE31" s="27" t="str">
        <f t="shared" si="2"/>
        <v/>
      </c>
      <c r="AF31" s="207" t="str">
        <f t="shared" si="3"/>
        <v/>
      </c>
      <c r="AG31" s="207" t="str">
        <f t="shared" si="4"/>
        <v/>
      </c>
      <c r="AH31" s="27"/>
      <c r="AI31" s="27"/>
      <c r="AJ31" s="207" t="str">
        <f t="shared" si="6"/>
        <v/>
      </c>
      <c r="AK31" s="27"/>
      <c r="AL31" s="27"/>
      <c r="AM31" t="str">
        <f t="shared" si="8"/>
        <v/>
      </c>
      <c r="AN31" s="333" t="str">
        <f>IF(OR(I31="",I31="N",I31="Y"),"",IF(VLOOKUP(I31,LastYrList!A:D,2,FALSE)="Did Not Shoot",CONCATENATE("Comp No. ",I31," Did Not Shoot Last Year!!"),""))</f>
        <v/>
      </c>
      <c r="AP31" t="str">
        <f t="shared" si="26"/>
        <v/>
      </c>
      <c r="AQ31" s="333"/>
      <c r="AR31" s="333"/>
      <c r="AS31" s="333"/>
      <c r="AT31" t="str">
        <f t="shared" si="9"/>
        <v/>
      </c>
      <c r="AU31" t="str">
        <f t="shared" si="10"/>
        <v/>
      </c>
      <c r="AV31" t="str">
        <f t="shared" si="11"/>
        <v/>
      </c>
      <c r="AW31" t="str">
        <f t="shared" si="12"/>
        <v/>
      </c>
      <c r="AX31" t="str">
        <f t="shared" si="13"/>
        <v/>
      </c>
      <c r="AY31" t="str">
        <f t="shared" si="14"/>
        <v/>
      </c>
      <c r="AZ31" t="str">
        <f t="shared" si="27"/>
        <v/>
      </c>
      <c r="BA31" t="str">
        <f t="shared" si="15"/>
        <v/>
      </c>
      <c r="BB31" t="str">
        <f t="shared" si="16"/>
        <v/>
      </c>
      <c r="BC31" t="str">
        <f t="shared" si="17"/>
        <v/>
      </c>
      <c r="BD31" t="str">
        <f t="shared" si="18"/>
        <v/>
      </c>
      <c r="BF31" s="338" t="str">
        <f t="shared" si="19"/>
        <v/>
      </c>
      <c r="BG31" s="338">
        <f t="shared" si="20"/>
        <v>0</v>
      </c>
      <c r="BH31" s="337" t="str">
        <f t="shared" si="28"/>
        <v/>
      </c>
      <c r="BI31" s="337" t="str">
        <f t="shared" si="21"/>
        <v/>
      </c>
      <c r="BJ31" s="333"/>
      <c r="BK31" s="184" t="str">
        <f t="shared" si="22"/>
        <v/>
      </c>
    </row>
    <row r="32" spans="1:63" ht="13.5" x14ac:dyDescent="0.25">
      <c r="A32" s="254">
        <v>32</v>
      </c>
      <c r="B32" s="393">
        <v>16</v>
      </c>
      <c r="C32" s="60"/>
      <c r="D32" s="61"/>
      <c r="E32" s="62"/>
      <c r="F32" s="101"/>
      <c r="G32" s="101"/>
      <c r="H32" s="63"/>
      <c r="I32" s="103"/>
      <c r="J32" s="103"/>
      <c r="K32" s="59"/>
      <c r="L32" s="389"/>
      <c r="M32" s="59"/>
      <c r="N32" s="59"/>
      <c r="O32" s="59"/>
      <c r="P32" s="59"/>
      <c r="Q32" s="59"/>
      <c r="R32" s="59"/>
      <c r="S32" s="59"/>
      <c r="T32" s="101"/>
      <c r="U32" s="59"/>
      <c r="V32" s="103"/>
      <c r="W32" s="387"/>
      <c r="X32" s="387"/>
      <c r="Y32" s="59"/>
      <c r="Z32" s="107"/>
      <c r="AA32" s="413">
        <f t="shared" si="0"/>
        <v>0</v>
      </c>
      <c r="AB32" s="37" t="str">
        <f t="shared" si="29"/>
        <v/>
      </c>
      <c r="AC32" s="203" t="s">
        <v>66</v>
      </c>
      <c r="AD32" t="str">
        <f t="shared" si="1"/>
        <v>No Entrant</v>
      </c>
      <c r="AE32" s="27" t="str">
        <f t="shared" si="2"/>
        <v/>
      </c>
      <c r="AF32" s="207" t="str">
        <f t="shared" si="3"/>
        <v/>
      </c>
      <c r="AG32" s="207" t="str">
        <f t="shared" si="4"/>
        <v/>
      </c>
      <c r="AH32" s="27"/>
      <c r="AI32" s="27"/>
      <c r="AJ32" s="207" t="str">
        <f t="shared" si="6"/>
        <v/>
      </c>
      <c r="AK32" s="27"/>
      <c r="AL32" s="27"/>
      <c r="AM32" t="str">
        <f t="shared" si="8"/>
        <v/>
      </c>
      <c r="AN32" s="333" t="str">
        <f>IF(OR(I32="",I32="N",I32="Y"),"",IF(VLOOKUP(I32,LastYrList!A:D,2,FALSE)="Did Not Shoot",CONCATENATE("Comp No. ",I32," Did Not Shoot Last Year!!"),""))</f>
        <v/>
      </c>
      <c r="AP32" t="str">
        <f t="shared" si="26"/>
        <v/>
      </c>
      <c r="AQ32" s="333"/>
      <c r="AR32" s="333"/>
      <c r="AS32" s="333"/>
      <c r="AT32" t="str">
        <f t="shared" si="9"/>
        <v/>
      </c>
      <c r="AU32" t="str">
        <f t="shared" si="10"/>
        <v/>
      </c>
      <c r="AV32" t="str">
        <f t="shared" si="11"/>
        <v/>
      </c>
      <c r="AW32" t="str">
        <f t="shared" si="12"/>
        <v/>
      </c>
      <c r="AX32" t="str">
        <f t="shared" si="13"/>
        <v/>
      </c>
      <c r="AY32" t="str">
        <f t="shared" si="14"/>
        <v/>
      </c>
      <c r="AZ32" t="str">
        <f t="shared" si="27"/>
        <v/>
      </c>
      <c r="BA32" t="str">
        <f t="shared" si="15"/>
        <v/>
      </c>
      <c r="BB32" t="str">
        <f t="shared" si="16"/>
        <v/>
      </c>
      <c r="BC32" t="str">
        <f t="shared" si="17"/>
        <v/>
      </c>
      <c r="BD32" t="str">
        <f t="shared" si="18"/>
        <v/>
      </c>
      <c r="BF32" s="338" t="str">
        <f t="shared" si="19"/>
        <v/>
      </c>
      <c r="BG32" s="338">
        <f t="shared" si="20"/>
        <v>0</v>
      </c>
      <c r="BH32" s="337" t="str">
        <f t="shared" si="28"/>
        <v/>
      </c>
      <c r="BI32" s="337" t="str">
        <f t="shared" si="21"/>
        <v/>
      </c>
      <c r="BJ32" s="333"/>
      <c r="BK32" s="184" t="str">
        <f t="shared" si="22"/>
        <v/>
      </c>
    </row>
    <row r="33" spans="1:65" ht="13.5" x14ac:dyDescent="0.25">
      <c r="A33" s="254">
        <v>33</v>
      </c>
      <c r="B33" s="393">
        <v>17</v>
      </c>
      <c r="C33" s="60"/>
      <c r="D33" s="61"/>
      <c r="E33" s="62"/>
      <c r="F33" s="101"/>
      <c r="G33" s="101"/>
      <c r="H33" s="63"/>
      <c r="I33" s="103"/>
      <c r="J33" s="103"/>
      <c r="K33" s="59"/>
      <c r="L33" s="389"/>
      <c r="M33" s="59"/>
      <c r="N33" s="59"/>
      <c r="O33" s="59"/>
      <c r="P33" s="59"/>
      <c r="Q33" s="59"/>
      <c r="R33" s="59"/>
      <c r="S33" s="59"/>
      <c r="T33" s="101"/>
      <c r="U33" s="59"/>
      <c r="V33" s="103"/>
      <c r="W33" s="387"/>
      <c r="X33" s="387"/>
      <c r="Y33" s="59"/>
      <c r="Z33" s="107"/>
      <c r="AA33" s="413">
        <f t="shared" si="0"/>
        <v>0</v>
      </c>
      <c r="AB33" s="37" t="str">
        <f t="shared" si="29"/>
        <v/>
      </c>
      <c r="AC33" s="203" t="s">
        <v>65</v>
      </c>
      <c r="AD33" t="str">
        <f t="shared" si="1"/>
        <v>No Entrant</v>
      </c>
      <c r="AE33" s="27" t="str">
        <f t="shared" si="2"/>
        <v/>
      </c>
      <c r="AF33" s="207" t="str">
        <f t="shared" si="3"/>
        <v/>
      </c>
      <c r="AG33" s="207" t="str">
        <f t="shared" si="4"/>
        <v/>
      </c>
      <c r="AH33" s="27"/>
      <c r="AI33" s="27"/>
      <c r="AJ33" s="207" t="str">
        <f t="shared" si="6"/>
        <v/>
      </c>
      <c r="AK33" s="27"/>
      <c r="AL33" s="27"/>
      <c r="AM33" t="str">
        <f t="shared" si="8"/>
        <v/>
      </c>
      <c r="AN33" s="333" t="str">
        <f>IF(OR(I33="",I33="N",I33="Y"),"",IF(VLOOKUP(I33,LastYrList!A:D,2,FALSE)="Did Not Shoot",CONCATENATE("Comp No. ",I33," Did Not Shoot Last Year!!"),""))</f>
        <v/>
      </c>
      <c r="AP33" t="str">
        <f t="shared" si="26"/>
        <v/>
      </c>
      <c r="AQ33" s="333"/>
      <c r="AR33" s="333"/>
      <c r="AS33" s="333"/>
      <c r="AT33" t="str">
        <f t="shared" si="9"/>
        <v/>
      </c>
      <c r="AU33" t="str">
        <f t="shared" si="10"/>
        <v/>
      </c>
      <c r="AV33" t="str">
        <f t="shared" si="11"/>
        <v/>
      </c>
      <c r="AW33" t="str">
        <f t="shared" si="12"/>
        <v/>
      </c>
      <c r="AX33" t="str">
        <f t="shared" si="13"/>
        <v/>
      </c>
      <c r="AY33" t="str">
        <f t="shared" si="14"/>
        <v/>
      </c>
      <c r="AZ33" t="str">
        <f t="shared" si="27"/>
        <v/>
      </c>
      <c r="BA33" t="str">
        <f t="shared" si="15"/>
        <v/>
      </c>
      <c r="BB33" t="str">
        <f t="shared" si="16"/>
        <v/>
      </c>
      <c r="BC33" t="str">
        <f t="shared" si="17"/>
        <v/>
      </c>
      <c r="BD33" t="str">
        <f t="shared" si="18"/>
        <v/>
      </c>
      <c r="BF33" s="338" t="str">
        <f t="shared" si="19"/>
        <v/>
      </c>
      <c r="BG33" s="338">
        <f t="shared" si="20"/>
        <v>0</v>
      </c>
      <c r="BH33" s="337" t="str">
        <f t="shared" si="28"/>
        <v/>
      </c>
      <c r="BI33" s="337" t="str">
        <f t="shared" si="21"/>
        <v/>
      </c>
      <c r="BJ33" s="333"/>
      <c r="BK33" s="184" t="str">
        <f t="shared" si="22"/>
        <v/>
      </c>
    </row>
    <row r="34" spans="1:65" ht="13.5" x14ac:dyDescent="0.25">
      <c r="A34" s="254">
        <v>34</v>
      </c>
      <c r="B34" s="393">
        <v>18</v>
      </c>
      <c r="C34" s="60"/>
      <c r="D34" s="61"/>
      <c r="E34" s="62"/>
      <c r="F34" s="101"/>
      <c r="G34" s="101"/>
      <c r="H34" s="63"/>
      <c r="I34" s="103"/>
      <c r="J34" s="103"/>
      <c r="K34" s="59"/>
      <c r="L34" s="389"/>
      <c r="M34" s="59"/>
      <c r="N34" s="59"/>
      <c r="O34" s="59"/>
      <c r="P34" s="59"/>
      <c r="Q34" s="59"/>
      <c r="R34" s="59"/>
      <c r="S34" s="59"/>
      <c r="T34" s="101"/>
      <c r="U34" s="59"/>
      <c r="V34" s="103"/>
      <c r="W34" s="387"/>
      <c r="X34" s="387"/>
      <c r="Y34" s="59"/>
      <c r="Z34" s="107"/>
      <c r="AA34" s="413">
        <f t="shared" si="0"/>
        <v>0</v>
      </c>
      <c r="AB34" s="37" t="str">
        <f t="shared" si="29"/>
        <v/>
      </c>
      <c r="AC34" s="203" t="s">
        <v>64</v>
      </c>
      <c r="AD34" t="str">
        <f t="shared" si="1"/>
        <v>No Entrant</v>
      </c>
      <c r="AE34" s="27" t="str">
        <f t="shared" si="2"/>
        <v/>
      </c>
      <c r="AF34" s="207" t="str">
        <f t="shared" si="3"/>
        <v/>
      </c>
      <c r="AG34" s="207" t="str">
        <f t="shared" si="4"/>
        <v/>
      </c>
      <c r="AH34" s="27"/>
      <c r="AI34" s="27"/>
      <c r="AJ34" s="207" t="str">
        <f t="shared" si="6"/>
        <v/>
      </c>
      <c r="AK34" s="27"/>
      <c r="AL34" s="27"/>
      <c r="AM34" t="str">
        <f t="shared" si="8"/>
        <v/>
      </c>
      <c r="AN34" s="333" t="str">
        <f>IF(OR(I34="",I34="N",I34="Y"),"",IF(VLOOKUP(I34,LastYrList!A:D,2,FALSE)="Did Not Shoot",CONCATENATE("Comp No. ",I34," Did Not Shoot Last Year!!"),""))</f>
        <v/>
      </c>
      <c r="AP34" t="str">
        <f t="shared" si="26"/>
        <v/>
      </c>
      <c r="AQ34" s="333"/>
      <c r="AR34" s="333"/>
      <c r="AS34" s="333"/>
      <c r="AT34" t="str">
        <f t="shared" si="9"/>
        <v/>
      </c>
      <c r="AU34" t="str">
        <f t="shared" si="10"/>
        <v/>
      </c>
      <c r="AV34" t="str">
        <f t="shared" si="11"/>
        <v/>
      </c>
      <c r="AW34" t="str">
        <f t="shared" si="12"/>
        <v/>
      </c>
      <c r="AX34" t="str">
        <f t="shared" si="13"/>
        <v/>
      </c>
      <c r="AY34" t="str">
        <f t="shared" si="14"/>
        <v/>
      </c>
      <c r="AZ34" t="str">
        <f t="shared" si="27"/>
        <v/>
      </c>
      <c r="BA34" t="str">
        <f t="shared" si="15"/>
        <v/>
      </c>
      <c r="BB34" t="str">
        <f t="shared" si="16"/>
        <v/>
      </c>
      <c r="BC34" t="str">
        <f t="shared" si="17"/>
        <v/>
      </c>
      <c r="BD34" t="str">
        <f t="shared" si="18"/>
        <v/>
      </c>
      <c r="BF34" s="338" t="str">
        <f t="shared" si="19"/>
        <v/>
      </c>
      <c r="BG34" s="338">
        <f t="shared" si="20"/>
        <v>0</v>
      </c>
      <c r="BH34" s="337" t="str">
        <f t="shared" si="28"/>
        <v/>
      </c>
      <c r="BI34" s="337" t="str">
        <f t="shared" si="21"/>
        <v/>
      </c>
      <c r="BJ34" s="333"/>
      <c r="BK34" s="184" t="str">
        <f t="shared" si="22"/>
        <v/>
      </c>
    </row>
    <row r="35" spans="1:65" ht="13.5" x14ac:dyDescent="0.25">
      <c r="A35" s="254">
        <v>35</v>
      </c>
      <c r="B35" s="393">
        <v>19</v>
      </c>
      <c r="C35" s="60"/>
      <c r="D35" s="61"/>
      <c r="E35" s="62"/>
      <c r="F35" s="101"/>
      <c r="G35" s="101"/>
      <c r="H35" s="63"/>
      <c r="I35" s="103"/>
      <c r="J35" s="103"/>
      <c r="K35" s="59"/>
      <c r="L35" s="389"/>
      <c r="M35" s="59"/>
      <c r="N35" s="59"/>
      <c r="O35" s="59"/>
      <c r="P35" s="59"/>
      <c r="Q35" s="59"/>
      <c r="R35" s="59"/>
      <c r="S35" s="59"/>
      <c r="T35" s="101"/>
      <c r="U35" s="59"/>
      <c r="V35" s="103"/>
      <c r="W35" s="387"/>
      <c r="X35" s="387"/>
      <c r="Y35" s="59"/>
      <c r="Z35" s="107"/>
      <c r="AA35" s="413">
        <f t="shared" si="0"/>
        <v>0</v>
      </c>
      <c r="AB35" s="37" t="str">
        <f t="shared" si="29"/>
        <v/>
      </c>
      <c r="AC35" s="203" t="s">
        <v>63</v>
      </c>
      <c r="AD35" t="str">
        <f t="shared" si="1"/>
        <v>No Entrant</v>
      </c>
      <c r="AE35" s="27" t="str">
        <f t="shared" si="2"/>
        <v/>
      </c>
      <c r="AF35" s="207" t="str">
        <f t="shared" si="3"/>
        <v/>
      </c>
      <c r="AG35" s="207" t="str">
        <f t="shared" si="4"/>
        <v/>
      </c>
      <c r="AH35" s="27"/>
      <c r="AI35" s="27"/>
      <c r="AJ35" s="207" t="str">
        <f t="shared" si="6"/>
        <v/>
      </c>
      <c r="AK35" s="27"/>
      <c r="AL35" s="27"/>
      <c r="AM35" t="str">
        <f t="shared" si="8"/>
        <v/>
      </c>
      <c r="AN35" s="333" t="str">
        <f>IF(OR(I35="",I35="N",I35="Y"),"",IF(VLOOKUP(I35,LastYrList!A:D,2,FALSE)="Did Not Shoot",CONCATENATE("Comp No. ",I35," Did Not Shoot Last Year!!"),""))</f>
        <v/>
      </c>
      <c r="AP35" t="str">
        <f t="shared" si="26"/>
        <v/>
      </c>
      <c r="AQ35" s="333"/>
      <c r="AR35" s="333"/>
      <c r="AS35" s="333"/>
      <c r="AT35" t="str">
        <f t="shared" si="9"/>
        <v/>
      </c>
      <c r="AU35" t="str">
        <f t="shared" si="10"/>
        <v/>
      </c>
      <c r="AV35" t="str">
        <f t="shared" si="11"/>
        <v/>
      </c>
      <c r="AW35" t="str">
        <f t="shared" si="12"/>
        <v/>
      </c>
      <c r="AX35" t="str">
        <f t="shared" si="13"/>
        <v/>
      </c>
      <c r="AY35" t="str">
        <f t="shared" si="14"/>
        <v/>
      </c>
      <c r="AZ35" t="str">
        <f t="shared" si="27"/>
        <v/>
      </c>
      <c r="BA35" t="str">
        <f t="shared" si="15"/>
        <v/>
      </c>
      <c r="BB35" t="str">
        <f t="shared" si="16"/>
        <v/>
      </c>
      <c r="BC35" t="str">
        <f t="shared" si="17"/>
        <v/>
      </c>
      <c r="BD35" t="str">
        <f t="shared" si="18"/>
        <v/>
      </c>
      <c r="BF35" s="338" t="str">
        <f t="shared" si="19"/>
        <v/>
      </c>
      <c r="BG35" s="338">
        <f t="shared" si="20"/>
        <v>0</v>
      </c>
      <c r="BH35" s="337" t="str">
        <f t="shared" si="28"/>
        <v/>
      </c>
      <c r="BI35" s="337" t="str">
        <f t="shared" si="21"/>
        <v/>
      </c>
      <c r="BJ35" s="333"/>
      <c r="BK35" s="184" t="str">
        <f t="shared" si="22"/>
        <v/>
      </c>
    </row>
    <row r="36" spans="1:65" ht="13.5" x14ac:dyDescent="0.25">
      <c r="A36" s="254">
        <v>36</v>
      </c>
      <c r="B36" s="393">
        <v>20</v>
      </c>
      <c r="C36" s="60"/>
      <c r="D36" s="61"/>
      <c r="E36" s="62"/>
      <c r="F36" s="101"/>
      <c r="G36" s="101"/>
      <c r="H36" s="63"/>
      <c r="I36" s="103"/>
      <c r="J36" s="103"/>
      <c r="K36" s="59"/>
      <c r="L36" s="389"/>
      <c r="M36" s="59"/>
      <c r="N36" s="59"/>
      <c r="O36" s="59"/>
      <c r="P36" s="59"/>
      <c r="Q36" s="59"/>
      <c r="R36" s="59"/>
      <c r="S36" s="59"/>
      <c r="T36" s="101"/>
      <c r="U36" s="59"/>
      <c r="V36" s="103"/>
      <c r="W36" s="387"/>
      <c r="X36" s="387"/>
      <c r="Y36" s="59"/>
      <c r="Z36" s="107"/>
      <c r="AA36" s="413">
        <f t="shared" si="0"/>
        <v>0</v>
      </c>
      <c r="AB36" s="37" t="str">
        <f t="shared" si="29"/>
        <v/>
      </c>
      <c r="AC36" s="203" t="s">
        <v>62</v>
      </c>
      <c r="AD36" t="str">
        <f t="shared" si="1"/>
        <v>No Entrant</v>
      </c>
      <c r="AE36" s="27" t="str">
        <f t="shared" si="2"/>
        <v/>
      </c>
      <c r="AF36" s="207" t="str">
        <f t="shared" si="3"/>
        <v/>
      </c>
      <c r="AG36" s="207" t="str">
        <f t="shared" si="4"/>
        <v/>
      </c>
      <c r="AH36" s="27"/>
      <c r="AI36" s="27"/>
      <c r="AJ36" s="207" t="str">
        <f t="shared" si="6"/>
        <v/>
      </c>
      <c r="AK36" s="27"/>
      <c r="AL36" s="27"/>
      <c r="AM36" t="str">
        <f t="shared" si="8"/>
        <v/>
      </c>
      <c r="AN36" s="333" t="str">
        <f>IF(OR(I36="",I36="N",I36="Y"),"",IF(VLOOKUP(I36,LastYrList!A:D,2,FALSE)="Did Not Shoot",CONCATENATE("Comp No. ",I36," Did Not Shoot Last Year!!"),""))</f>
        <v/>
      </c>
      <c r="AP36" t="str">
        <f t="shared" si="26"/>
        <v/>
      </c>
      <c r="AQ36" s="333"/>
      <c r="AR36" s="333"/>
      <c r="AS36" s="333"/>
      <c r="AT36" t="str">
        <f t="shared" si="9"/>
        <v/>
      </c>
      <c r="AU36" t="str">
        <f t="shared" si="10"/>
        <v/>
      </c>
      <c r="AV36" t="str">
        <f t="shared" si="11"/>
        <v/>
      </c>
      <c r="AW36" t="str">
        <f t="shared" si="12"/>
        <v/>
      </c>
      <c r="AX36" t="str">
        <f t="shared" si="13"/>
        <v/>
      </c>
      <c r="AY36" t="str">
        <f t="shared" si="14"/>
        <v/>
      </c>
      <c r="AZ36" t="str">
        <f t="shared" si="27"/>
        <v/>
      </c>
      <c r="BA36" t="str">
        <f t="shared" si="15"/>
        <v/>
      </c>
      <c r="BB36" t="str">
        <f t="shared" si="16"/>
        <v/>
      </c>
      <c r="BC36" t="str">
        <f t="shared" si="17"/>
        <v/>
      </c>
      <c r="BD36" t="str">
        <f t="shared" si="18"/>
        <v/>
      </c>
      <c r="BF36" s="338" t="str">
        <f t="shared" si="19"/>
        <v/>
      </c>
      <c r="BG36" s="338">
        <f t="shared" si="20"/>
        <v>0</v>
      </c>
      <c r="BH36" s="337" t="str">
        <f t="shared" si="28"/>
        <v/>
      </c>
      <c r="BI36" s="337" t="str">
        <f t="shared" si="21"/>
        <v/>
      </c>
      <c r="BJ36" s="333"/>
      <c r="BK36" s="184" t="str">
        <f t="shared" si="22"/>
        <v/>
      </c>
    </row>
    <row r="37" spans="1:65" ht="13.5" x14ac:dyDescent="0.25">
      <c r="A37" s="254">
        <v>37</v>
      </c>
      <c r="B37" s="393">
        <v>21</v>
      </c>
      <c r="C37" s="60"/>
      <c r="D37" s="61"/>
      <c r="E37" s="62"/>
      <c r="F37" s="101"/>
      <c r="G37" s="101"/>
      <c r="H37" s="63"/>
      <c r="I37" s="103"/>
      <c r="J37" s="103"/>
      <c r="K37" s="59"/>
      <c r="L37" s="389"/>
      <c r="M37" s="59"/>
      <c r="N37" s="59"/>
      <c r="O37" s="59"/>
      <c r="P37" s="59"/>
      <c r="Q37" s="59"/>
      <c r="R37" s="59"/>
      <c r="S37" s="59"/>
      <c r="T37" s="101"/>
      <c r="U37" s="59"/>
      <c r="V37" s="103"/>
      <c r="W37" s="387"/>
      <c r="X37" s="387"/>
      <c r="Y37" s="59"/>
      <c r="Z37" s="107"/>
      <c r="AA37" s="413">
        <f t="shared" si="0"/>
        <v>0</v>
      </c>
      <c r="AB37" s="37" t="str">
        <f t="shared" si="29"/>
        <v/>
      </c>
      <c r="AC37" s="203" t="s">
        <v>61</v>
      </c>
      <c r="AD37" t="str">
        <f t="shared" si="1"/>
        <v>No Entrant</v>
      </c>
      <c r="AE37" s="27" t="str">
        <f>IF(AD37=AE$16,CONCATENATE(AD37,"; "),"")</f>
        <v/>
      </c>
      <c r="AF37" s="207" t="str">
        <f t="shared" si="3"/>
        <v/>
      </c>
      <c r="AG37" s="207" t="str">
        <f t="shared" si="4"/>
        <v/>
      </c>
      <c r="AH37" s="27"/>
      <c r="AI37" s="27"/>
      <c r="AJ37" s="207" t="str">
        <f t="shared" si="6"/>
        <v/>
      </c>
      <c r="AK37" s="27"/>
      <c r="AL37" s="27"/>
      <c r="AM37" t="str">
        <f t="shared" si="8"/>
        <v/>
      </c>
      <c r="AN37" s="333" t="str">
        <f>IF(OR(I37="",I37="N",I37="Y"),"",IF(VLOOKUP(I37,LastYrList!A:D,2,FALSE)="Did Not Shoot",CONCATENATE("Comp No. ",I37," Did Not Shoot Last Year!!"),""))</f>
        <v/>
      </c>
      <c r="AP37" t="str">
        <f t="shared" si="26"/>
        <v/>
      </c>
      <c r="AQ37" s="333"/>
      <c r="AR37" s="333"/>
      <c r="AS37" s="333"/>
      <c r="AT37" t="str">
        <f t="shared" si="9"/>
        <v/>
      </c>
      <c r="AU37" t="str">
        <f t="shared" si="10"/>
        <v/>
      </c>
      <c r="AV37" t="str">
        <f t="shared" si="11"/>
        <v/>
      </c>
      <c r="AW37" t="str">
        <f t="shared" si="12"/>
        <v/>
      </c>
      <c r="AX37" t="str">
        <f t="shared" si="13"/>
        <v/>
      </c>
      <c r="AY37" t="str">
        <f t="shared" si="14"/>
        <v/>
      </c>
      <c r="AZ37" t="str">
        <f t="shared" si="27"/>
        <v/>
      </c>
      <c r="BA37" t="str">
        <f t="shared" si="15"/>
        <v/>
      </c>
      <c r="BB37" t="str">
        <f t="shared" si="16"/>
        <v/>
      </c>
      <c r="BC37" t="str">
        <f t="shared" si="17"/>
        <v/>
      </c>
      <c r="BD37" t="str">
        <f t="shared" si="18"/>
        <v/>
      </c>
      <c r="BF37" s="338" t="str">
        <f t="shared" si="19"/>
        <v/>
      </c>
      <c r="BG37" s="338">
        <f t="shared" si="20"/>
        <v>0</v>
      </c>
      <c r="BH37" s="337" t="str">
        <f t="shared" si="28"/>
        <v/>
      </c>
      <c r="BI37" s="337" t="str">
        <f t="shared" si="21"/>
        <v/>
      </c>
      <c r="BJ37" s="333"/>
      <c r="BK37" s="184" t="str">
        <f t="shared" si="22"/>
        <v/>
      </c>
    </row>
    <row r="38" spans="1:65" ht="13.5" x14ac:dyDescent="0.25">
      <c r="A38" s="254">
        <v>38</v>
      </c>
      <c r="B38" s="393">
        <v>22</v>
      </c>
      <c r="C38" s="60"/>
      <c r="D38" s="61"/>
      <c r="E38" s="62"/>
      <c r="F38" s="101"/>
      <c r="G38" s="101"/>
      <c r="H38" s="63"/>
      <c r="I38" s="103"/>
      <c r="J38" s="103"/>
      <c r="K38" s="59"/>
      <c r="L38" s="389"/>
      <c r="M38" s="59"/>
      <c r="N38" s="59"/>
      <c r="O38" s="59"/>
      <c r="P38" s="59"/>
      <c r="Q38" s="59"/>
      <c r="R38" s="59"/>
      <c r="S38" s="59"/>
      <c r="T38" s="101"/>
      <c r="U38" s="59"/>
      <c r="V38" s="103"/>
      <c r="W38" s="387"/>
      <c r="X38" s="387"/>
      <c r="Y38" s="59"/>
      <c r="Z38" s="107"/>
      <c r="AA38" s="413">
        <f t="shared" si="0"/>
        <v>0</v>
      </c>
      <c r="AB38" s="37" t="str">
        <f t="shared" si="29"/>
        <v/>
      </c>
      <c r="AC38" s="203" t="s">
        <v>60</v>
      </c>
      <c r="AD38" t="str">
        <f t="shared" si="1"/>
        <v>No Entrant</v>
      </c>
      <c r="AE38" s="27" t="str">
        <f t="shared" ref="AE38:AE43" si="30">IF(AD38=AE$16,CONCATENATE(AD38,"; "),"")</f>
        <v/>
      </c>
      <c r="AF38" s="207" t="str">
        <f t="shared" si="3"/>
        <v/>
      </c>
      <c r="AG38" s="207" t="str">
        <f t="shared" si="4"/>
        <v/>
      </c>
      <c r="AH38" s="27"/>
      <c r="AI38" s="27"/>
      <c r="AJ38" s="207" t="str">
        <f t="shared" si="6"/>
        <v/>
      </c>
      <c r="AK38" s="27"/>
      <c r="AL38" s="27"/>
      <c r="AM38" t="str">
        <f t="shared" si="8"/>
        <v/>
      </c>
      <c r="AN38" s="333" t="str">
        <f>IF(OR(I38="",I38="N",I38="Y"),"",IF(VLOOKUP(I38,LastYrList!A:D,2,FALSE)="Did Not Shoot",CONCATENATE("Comp No. ",I38," Did Not Shoot Last Year!!"),""))</f>
        <v/>
      </c>
      <c r="AP38" t="str">
        <f t="shared" si="26"/>
        <v/>
      </c>
      <c r="AQ38" s="333"/>
      <c r="AR38" s="333"/>
      <c r="AS38" s="333"/>
      <c r="AT38" t="str">
        <f t="shared" si="9"/>
        <v/>
      </c>
      <c r="AU38" t="str">
        <f t="shared" si="10"/>
        <v/>
      </c>
      <c r="AV38" t="str">
        <f t="shared" si="11"/>
        <v/>
      </c>
      <c r="AW38" t="str">
        <f t="shared" si="12"/>
        <v/>
      </c>
      <c r="AX38" t="str">
        <f t="shared" si="13"/>
        <v/>
      </c>
      <c r="AY38" t="str">
        <f t="shared" si="14"/>
        <v/>
      </c>
      <c r="AZ38" t="str">
        <f t="shared" si="27"/>
        <v/>
      </c>
      <c r="BA38" t="str">
        <f t="shared" si="15"/>
        <v/>
      </c>
      <c r="BB38" t="str">
        <f t="shared" si="16"/>
        <v/>
      </c>
      <c r="BC38" t="str">
        <f t="shared" si="17"/>
        <v/>
      </c>
      <c r="BD38" t="str">
        <f t="shared" si="18"/>
        <v/>
      </c>
      <c r="BF38" s="338" t="str">
        <f t="shared" si="19"/>
        <v/>
      </c>
      <c r="BG38" s="338">
        <f t="shared" si="20"/>
        <v>0</v>
      </c>
      <c r="BH38" s="337" t="str">
        <f t="shared" si="28"/>
        <v/>
      </c>
      <c r="BI38" s="337" t="str">
        <f t="shared" si="21"/>
        <v/>
      </c>
      <c r="BJ38" s="333"/>
      <c r="BK38" s="184" t="str">
        <f t="shared" si="22"/>
        <v/>
      </c>
    </row>
    <row r="39" spans="1:65" ht="13.5" x14ac:dyDescent="0.25">
      <c r="A39" s="254">
        <v>39</v>
      </c>
      <c r="B39" s="393">
        <v>23</v>
      </c>
      <c r="C39" s="60"/>
      <c r="D39" s="61"/>
      <c r="E39" s="62"/>
      <c r="F39" s="101"/>
      <c r="G39" s="101"/>
      <c r="H39" s="63"/>
      <c r="I39" s="103"/>
      <c r="J39" s="103"/>
      <c r="K39" s="59"/>
      <c r="L39" s="389"/>
      <c r="M39" s="59"/>
      <c r="N39" s="59"/>
      <c r="O39" s="59"/>
      <c r="P39" s="59"/>
      <c r="Q39" s="59"/>
      <c r="R39" s="59"/>
      <c r="S39" s="59"/>
      <c r="T39" s="101"/>
      <c r="U39" s="59"/>
      <c r="V39" s="103"/>
      <c r="W39" s="387"/>
      <c r="X39" s="387"/>
      <c r="Y39" s="59"/>
      <c r="Z39" s="107"/>
      <c r="AA39" s="413">
        <f t="shared" si="0"/>
        <v>0</v>
      </c>
      <c r="AB39" s="37" t="str">
        <f t="shared" si="29"/>
        <v/>
      </c>
      <c r="AC39" s="203" t="s">
        <v>59</v>
      </c>
      <c r="AD39" t="str">
        <f t="shared" si="1"/>
        <v>No Entrant</v>
      </c>
      <c r="AE39" s="27" t="str">
        <f t="shared" si="30"/>
        <v/>
      </c>
      <c r="AF39" s="207" t="str">
        <f t="shared" si="3"/>
        <v/>
      </c>
      <c r="AG39" s="207" t="str">
        <f t="shared" si="4"/>
        <v/>
      </c>
      <c r="AH39" s="27"/>
      <c r="AI39" s="27"/>
      <c r="AJ39" s="207" t="str">
        <f t="shared" si="6"/>
        <v/>
      </c>
      <c r="AK39" s="27"/>
      <c r="AL39" s="27"/>
      <c r="AM39" t="str">
        <f t="shared" si="8"/>
        <v/>
      </c>
      <c r="AN39" s="333" t="str">
        <f>IF(OR(I39="",I39="N",I39="Y"),"",IF(VLOOKUP(I39,LastYrList!A:D,2,FALSE)="Did Not Shoot",CONCATENATE("Comp No. ",I39," Did Not Shoot Last Year!!"),""))</f>
        <v/>
      </c>
      <c r="AP39" t="str">
        <f t="shared" si="26"/>
        <v/>
      </c>
      <c r="AQ39" s="333"/>
      <c r="AR39" s="333"/>
      <c r="AS39" s="333"/>
      <c r="AT39" t="str">
        <f t="shared" si="9"/>
        <v/>
      </c>
      <c r="AU39" t="str">
        <f t="shared" si="10"/>
        <v/>
      </c>
      <c r="AV39" t="str">
        <f t="shared" si="11"/>
        <v/>
      </c>
      <c r="AW39" t="str">
        <f t="shared" si="12"/>
        <v/>
      </c>
      <c r="AX39" t="str">
        <f t="shared" si="13"/>
        <v/>
      </c>
      <c r="AY39" t="str">
        <f t="shared" si="14"/>
        <v/>
      </c>
      <c r="AZ39" t="str">
        <f t="shared" si="27"/>
        <v/>
      </c>
      <c r="BA39" t="str">
        <f t="shared" si="15"/>
        <v/>
      </c>
      <c r="BB39" t="str">
        <f t="shared" si="16"/>
        <v/>
      </c>
      <c r="BC39" t="str">
        <f t="shared" si="17"/>
        <v/>
      </c>
      <c r="BD39" t="str">
        <f t="shared" si="18"/>
        <v/>
      </c>
      <c r="BF39" s="338" t="str">
        <f t="shared" si="19"/>
        <v/>
      </c>
      <c r="BG39" s="338">
        <f t="shared" si="20"/>
        <v>0</v>
      </c>
      <c r="BH39" s="337" t="str">
        <f t="shared" si="28"/>
        <v/>
      </c>
      <c r="BI39" s="337" t="str">
        <f t="shared" si="21"/>
        <v/>
      </c>
      <c r="BJ39" s="333"/>
      <c r="BK39" s="184" t="str">
        <f t="shared" si="22"/>
        <v/>
      </c>
    </row>
    <row r="40" spans="1:65" ht="13.5" x14ac:dyDescent="0.25">
      <c r="A40" s="254">
        <v>40</v>
      </c>
      <c r="B40" s="393">
        <v>24</v>
      </c>
      <c r="C40" s="60"/>
      <c r="D40" s="61"/>
      <c r="E40" s="62"/>
      <c r="F40" s="101"/>
      <c r="G40" s="101"/>
      <c r="H40" s="63"/>
      <c r="I40" s="103"/>
      <c r="J40" s="103"/>
      <c r="K40" s="59"/>
      <c r="L40" s="389"/>
      <c r="M40" s="59"/>
      <c r="N40" s="59"/>
      <c r="O40" s="59"/>
      <c r="P40" s="59"/>
      <c r="Q40" s="59"/>
      <c r="R40" s="59"/>
      <c r="S40" s="59"/>
      <c r="T40" s="101"/>
      <c r="U40" s="59"/>
      <c r="V40" s="103"/>
      <c r="W40" s="387"/>
      <c r="X40" s="387"/>
      <c r="Y40" s="59"/>
      <c r="Z40" s="107"/>
      <c r="AA40" s="413">
        <f t="shared" si="0"/>
        <v>0</v>
      </c>
      <c r="AB40" s="37" t="str">
        <f t="shared" si="29"/>
        <v/>
      </c>
      <c r="AC40" s="203" t="s">
        <v>58</v>
      </c>
      <c r="AD40" t="str">
        <f t="shared" si="1"/>
        <v>No Entrant</v>
      </c>
      <c r="AE40" s="27" t="str">
        <f t="shared" si="30"/>
        <v/>
      </c>
      <c r="AF40" s="207" t="str">
        <f t="shared" si="3"/>
        <v/>
      </c>
      <c r="AG40" s="207" t="str">
        <f t="shared" si="4"/>
        <v/>
      </c>
      <c r="AH40" s="27"/>
      <c r="AI40" s="27"/>
      <c r="AJ40" s="207" t="str">
        <f t="shared" si="6"/>
        <v/>
      </c>
      <c r="AK40" s="27"/>
      <c r="AL40" s="27"/>
      <c r="AM40" t="str">
        <f t="shared" si="8"/>
        <v/>
      </c>
      <c r="AN40" s="333" t="str">
        <f>IF(OR(I40="",I40="N",I40="Y"),"",IF(VLOOKUP(I40,LastYrList!A:D,2,FALSE)="Did Not Shoot",CONCATENATE("Comp No. ",I40," Did Not Shoot Last Year!!"),""))</f>
        <v/>
      </c>
      <c r="AP40" t="str">
        <f t="shared" si="26"/>
        <v/>
      </c>
      <c r="AQ40" s="333"/>
      <c r="AR40" s="333"/>
      <c r="AS40" s="333"/>
      <c r="AT40" t="str">
        <f t="shared" si="9"/>
        <v/>
      </c>
      <c r="AU40" t="str">
        <f t="shared" si="10"/>
        <v/>
      </c>
      <c r="AV40" t="str">
        <f t="shared" si="11"/>
        <v/>
      </c>
      <c r="AW40" t="str">
        <f t="shared" si="12"/>
        <v/>
      </c>
      <c r="AX40" t="str">
        <f t="shared" si="13"/>
        <v/>
      </c>
      <c r="AY40" t="str">
        <f t="shared" si="14"/>
        <v/>
      </c>
      <c r="AZ40" t="str">
        <f t="shared" si="27"/>
        <v/>
      </c>
      <c r="BA40" t="str">
        <f t="shared" si="15"/>
        <v/>
      </c>
      <c r="BB40" t="str">
        <f t="shared" si="16"/>
        <v/>
      </c>
      <c r="BC40" t="str">
        <f t="shared" si="17"/>
        <v/>
      </c>
      <c r="BD40" t="str">
        <f t="shared" si="18"/>
        <v/>
      </c>
      <c r="BF40" s="338" t="str">
        <f t="shared" si="19"/>
        <v/>
      </c>
      <c r="BG40" s="338">
        <f t="shared" si="20"/>
        <v>0</v>
      </c>
      <c r="BH40" s="337" t="str">
        <f t="shared" si="28"/>
        <v/>
      </c>
      <c r="BI40" s="337" t="str">
        <f t="shared" si="21"/>
        <v/>
      </c>
      <c r="BJ40" s="333"/>
      <c r="BK40" s="184" t="str">
        <f t="shared" si="22"/>
        <v/>
      </c>
    </row>
    <row r="41" spans="1:65" ht="13.5" x14ac:dyDescent="0.25">
      <c r="A41" s="254">
        <v>41</v>
      </c>
      <c r="B41" s="393">
        <v>25</v>
      </c>
      <c r="C41" s="60"/>
      <c r="D41" s="61"/>
      <c r="E41" s="62"/>
      <c r="F41" s="101"/>
      <c r="G41" s="101"/>
      <c r="H41" s="63"/>
      <c r="I41" s="103"/>
      <c r="J41" s="103"/>
      <c r="K41" s="59"/>
      <c r="L41" s="389"/>
      <c r="M41" s="59"/>
      <c r="N41" s="59"/>
      <c r="O41" s="59"/>
      <c r="P41" s="59"/>
      <c r="Q41" s="59"/>
      <c r="R41" s="59"/>
      <c r="S41" s="59"/>
      <c r="T41" s="101"/>
      <c r="U41" s="59"/>
      <c r="V41" s="103"/>
      <c r="W41" s="387"/>
      <c r="X41" s="387"/>
      <c r="Y41" s="59"/>
      <c r="Z41" s="107"/>
      <c r="AA41" s="413">
        <f t="shared" si="0"/>
        <v>0</v>
      </c>
      <c r="AB41" s="37" t="str">
        <f t="shared" si="29"/>
        <v/>
      </c>
      <c r="AC41" s="203" t="s">
        <v>57</v>
      </c>
      <c r="AD41" t="str">
        <f t="shared" si="1"/>
        <v>No Entrant</v>
      </c>
      <c r="AE41" s="27" t="str">
        <f t="shared" si="30"/>
        <v/>
      </c>
      <c r="AF41" s="207" t="str">
        <f t="shared" si="3"/>
        <v/>
      </c>
      <c r="AG41" s="207" t="str">
        <f t="shared" si="4"/>
        <v/>
      </c>
      <c r="AH41" s="27"/>
      <c r="AI41" s="27"/>
      <c r="AJ41" s="207" t="str">
        <f t="shared" si="6"/>
        <v/>
      </c>
      <c r="AK41" s="27"/>
      <c r="AL41" s="27"/>
      <c r="AM41" t="str">
        <f t="shared" si="8"/>
        <v/>
      </c>
      <c r="AN41" s="333" t="str">
        <f>IF(OR(I41="",I41="N",I41="Y"),"",IF(VLOOKUP(I41,LastYrList!A:D,2,FALSE)="Did Not Shoot",CONCATENATE("Comp No. ",I41," Did Not Shoot Last Year!!"),""))</f>
        <v/>
      </c>
      <c r="AP41" t="str">
        <f t="shared" si="26"/>
        <v/>
      </c>
      <c r="AQ41" s="333"/>
      <c r="AR41" s="333"/>
      <c r="AS41" s="333"/>
      <c r="AT41" t="str">
        <f t="shared" si="9"/>
        <v/>
      </c>
      <c r="AU41" t="str">
        <f t="shared" si="10"/>
        <v/>
      </c>
      <c r="AV41" t="str">
        <f t="shared" si="11"/>
        <v/>
      </c>
      <c r="AW41" t="str">
        <f t="shared" si="12"/>
        <v/>
      </c>
      <c r="AX41" t="str">
        <f t="shared" si="13"/>
        <v/>
      </c>
      <c r="AY41" t="str">
        <f t="shared" si="14"/>
        <v/>
      </c>
      <c r="AZ41" t="str">
        <f t="shared" si="27"/>
        <v/>
      </c>
      <c r="BA41" t="str">
        <f t="shared" si="15"/>
        <v/>
      </c>
      <c r="BB41" t="str">
        <f t="shared" si="16"/>
        <v/>
      </c>
      <c r="BC41" t="str">
        <f t="shared" si="17"/>
        <v/>
      </c>
      <c r="BD41" t="str">
        <f t="shared" si="18"/>
        <v/>
      </c>
      <c r="BF41" s="338" t="str">
        <f t="shared" si="19"/>
        <v/>
      </c>
      <c r="BG41" s="338">
        <f t="shared" si="20"/>
        <v>0</v>
      </c>
      <c r="BH41" s="337" t="str">
        <f t="shared" si="28"/>
        <v/>
      </c>
      <c r="BI41" s="337" t="str">
        <f t="shared" si="21"/>
        <v/>
      </c>
      <c r="BJ41" s="333"/>
      <c r="BK41" s="184" t="str">
        <f t="shared" si="22"/>
        <v/>
      </c>
    </row>
    <row r="42" spans="1:65" ht="13.5" x14ac:dyDescent="0.25">
      <c r="A42" s="254">
        <v>42</v>
      </c>
      <c r="B42" s="393">
        <v>26</v>
      </c>
      <c r="C42" s="60"/>
      <c r="D42" s="61"/>
      <c r="E42" s="62"/>
      <c r="F42" s="101"/>
      <c r="G42" s="101"/>
      <c r="H42" s="63"/>
      <c r="I42" s="103"/>
      <c r="J42" s="103"/>
      <c r="K42" s="59"/>
      <c r="L42" s="389"/>
      <c r="M42" s="59"/>
      <c r="N42" s="59"/>
      <c r="O42" s="59"/>
      <c r="P42" s="59"/>
      <c r="Q42" s="59"/>
      <c r="R42" s="59"/>
      <c r="S42" s="59"/>
      <c r="T42" s="101"/>
      <c r="U42" s="59"/>
      <c r="V42" s="103"/>
      <c r="W42" s="387"/>
      <c r="X42" s="387"/>
      <c r="Y42" s="59"/>
      <c r="Z42" s="107"/>
      <c r="AA42" s="413">
        <f t="shared" si="0"/>
        <v>0</v>
      </c>
      <c r="AB42" s="37" t="str">
        <f t="shared" si="29"/>
        <v/>
      </c>
      <c r="AC42" s="203" t="s">
        <v>56</v>
      </c>
      <c r="AD42" t="str">
        <f t="shared" si="1"/>
        <v>No Entrant</v>
      </c>
      <c r="AE42" s="27" t="str">
        <f t="shared" si="30"/>
        <v/>
      </c>
      <c r="AF42" s="207" t="str">
        <f>IF(AD42&lt;&gt;"No Entrant",O85,"")</f>
        <v/>
      </c>
      <c r="AG42" s="207" t="str">
        <f t="shared" si="4"/>
        <v/>
      </c>
      <c r="AH42" s="27"/>
      <c r="AI42" s="27"/>
      <c r="AJ42" s="207" t="str">
        <f t="shared" si="6"/>
        <v/>
      </c>
      <c r="AK42" s="27"/>
      <c r="AL42" s="27"/>
      <c r="AM42" t="str">
        <f t="shared" si="8"/>
        <v/>
      </c>
      <c r="AN42" s="333" t="str">
        <f>IF(OR(I42="",I42="N",I42="Y"),"",IF(VLOOKUP(I42,LastYrList!A:D,2,FALSE)="Did Not Shoot",CONCATENATE("Comp No. ",I42," Did Not Shoot Last Year!!"),""))</f>
        <v/>
      </c>
      <c r="AP42" t="str">
        <f t="shared" si="26"/>
        <v/>
      </c>
      <c r="AQ42" s="333"/>
      <c r="AR42" s="333"/>
      <c r="AS42" s="333"/>
      <c r="AT42" t="str">
        <f t="shared" si="9"/>
        <v/>
      </c>
      <c r="AU42" t="str">
        <f t="shared" si="10"/>
        <v/>
      </c>
      <c r="AV42" t="str">
        <f t="shared" si="11"/>
        <v/>
      </c>
      <c r="AW42" t="str">
        <f t="shared" si="12"/>
        <v/>
      </c>
      <c r="AX42" t="str">
        <f t="shared" si="13"/>
        <v/>
      </c>
      <c r="AY42" t="str">
        <f t="shared" si="14"/>
        <v/>
      </c>
      <c r="AZ42" t="str">
        <f t="shared" si="27"/>
        <v/>
      </c>
      <c r="BA42" t="str">
        <f t="shared" si="15"/>
        <v/>
      </c>
      <c r="BB42" t="str">
        <f t="shared" si="16"/>
        <v/>
      </c>
      <c r="BC42" t="str">
        <f t="shared" si="17"/>
        <v/>
      </c>
      <c r="BD42" t="str">
        <f t="shared" si="18"/>
        <v/>
      </c>
      <c r="BF42" s="338" t="str">
        <f t="shared" si="19"/>
        <v/>
      </c>
      <c r="BG42" s="338">
        <f t="shared" si="20"/>
        <v>0</v>
      </c>
      <c r="BH42" s="337" t="str">
        <f t="shared" si="28"/>
        <v/>
      </c>
      <c r="BI42" s="337" t="str">
        <f t="shared" si="21"/>
        <v/>
      </c>
      <c r="BJ42" s="333"/>
      <c r="BK42" s="184" t="str">
        <f t="shared" si="22"/>
        <v/>
      </c>
    </row>
    <row r="43" spans="1:65" ht="14.25" thickBot="1" x14ac:dyDescent="0.3">
      <c r="A43" s="254">
        <v>43</v>
      </c>
      <c r="B43" s="393">
        <v>27</v>
      </c>
      <c r="C43" s="64"/>
      <c r="D43" s="65"/>
      <c r="E43" s="66"/>
      <c r="F43" s="102"/>
      <c r="G43" s="102"/>
      <c r="H43" s="68"/>
      <c r="I43" s="104"/>
      <c r="J43" s="104"/>
      <c r="K43" s="67"/>
      <c r="L43" s="390"/>
      <c r="M43" s="67"/>
      <c r="N43" s="67"/>
      <c r="O43" s="67"/>
      <c r="P43" s="67"/>
      <c r="Q43" s="67"/>
      <c r="R43" s="67"/>
      <c r="S43" s="67"/>
      <c r="T43" s="102"/>
      <c r="U43" s="67"/>
      <c r="V43" s="104"/>
      <c r="W43" s="437"/>
      <c r="X43" s="437"/>
      <c r="Y43" s="67"/>
      <c r="Z43" s="108"/>
      <c r="AA43" s="413">
        <f t="shared" si="0"/>
        <v>0</v>
      </c>
      <c r="AB43" s="37" t="str">
        <f t="shared" si="29"/>
        <v/>
      </c>
      <c r="AC43" s="203" t="s">
        <v>44</v>
      </c>
      <c r="AD43" t="str">
        <f t="shared" si="1"/>
        <v>No Entrant</v>
      </c>
      <c r="AE43" s="27" t="str">
        <f t="shared" si="30"/>
        <v/>
      </c>
      <c r="AF43" s="207" t="str">
        <f>IF(AD43&lt;&gt;"No Entrant",O103,"")</f>
        <v/>
      </c>
      <c r="AG43" s="207" t="str">
        <f t="shared" si="4"/>
        <v/>
      </c>
      <c r="AH43" s="27"/>
      <c r="AI43" s="27"/>
      <c r="AJ43" s="207" t="str">
        <f t="shared" si="6"/>
        <v/>
      </c>
      <c r="AK43" s="27"/>
      <c r="AL43" s="27"/>
      <c r="AM43" t="str">
        <f t="shared" si="8"/>
        <v/>
      </c>
      <c r="AN43" s="333" t="str">
        <f>IF(OR(I43="",I43="N",I43="Y"),"",IF(VLOOKUP(I43,LastYrList!A:D,2,FALSE)="Did Not Shoot",CONCATENATE("Comp No. ",I43," Did Not Shoot Last Year!!"),""))</f>
        <v/>
      </c>
      <c r="AP43" t="str">
        <f t="shared" si="26"/>
        <v/>
      </c>
      <c r="AQ43" s="333"/>
      <c r="AR43" s="333"/>
      <c r="AS43" s="333"/>
      <c r="AT43" t="str">
        <f t="shared" si="9"/>
        <v/>
      </c>
      <c r="AU43" t="str">
        <f t="shared" si="10"/>
        <v/>
      </c>
      <c r="AV43" t="str">
        <f t="shared" si="11"/>
        <v/>
      </c>
      <c r="AW43" t="str">
        <f t="shared" si="12"/>
        <v/>
      </c>
      <c r="AX43" t="str">
        <f t="shared" si="13"/>
        <v/>
      </c>
      <c r="AY43" t="str">
        <f t="shared" si="14"/>
        <v/>
      </c>
      <c r="AZ43" t="str">
        <f t="shared" si="27"/>
        <v/>
      </c>
      <c r="BA43" t="str">
        <f t="shared" si="15"/>
        <v/>
      </c>
      <c r="BB43" t="str">
        <f t="shared" si="16"/>
        <v/>
      </c>
      <c r="BC43" t="str">
        <f t="shared" si="17"/>
        <v/>
      </c>
      <c r="BD43" t="str">
        <f t="shared" si="18"/>
        <v/>
      </c>
      <c r="BF43" s="338" t="str">
        <f t="shared" si="19"/>
        <v/>
      </c>
      <c r="BG43" s="338">
        <f t="shared" si="20"/>
        <v>0</v>
      </c>
      <c r="BH43" s="337" t="str">
        <f t="shared" si="28"/>
        <v/>
      </c>
      <c r="BI43" s="337" t="str">
        <f t="shared" si="21"/>
        <v/>
      </c>
      <c r="BJ43" s="333"/>
      <c r="BK43" s="184" t="str">
        <f t="shared" si="22"/>
        <v/>
      </c>
    </row>
    <row r="44" spans="1:65" ht="17.25" customHeight="1" thickBot="1" x14ac:dyDescent="0.3">
      <c r="A44" s="254"/>
      <c r="B44" s="393"/>
      <c r="C44" s="169" t="s">
        <v>339</v>
      </c>
      <c r="D44" s="83"/>
      <c r="E44" s="84"/>
      <c r="F44" s="85"/>
      <c r="G44" s="85"/>
      <c r="H44" s="86"/>
      <c r="I44" s="85"/>
      <c r="J44" s="85"/>
      <c r="K44" s="117">
        <f>10-COUNTBLANK(L47:L56)</f>
        <v>0</v>
      </c>
      <c r="L44" s="85"/>
      <c r="M44" s="85"/>
      <c r="N44" s="85"/>
      <c r="O44" s="85"/>
      <c r="P44" s="85"/>
      <c r="Q44" s="85"/>
      <c r="R44" s="85"/>
      <c r="S44" s="85"/>
      <c r="T44" s="85"/>
      <c r="U44" s="85"/>
      <c r="V44" s="85"/>
      <c r="W44" s="85"/>
      <c r="X44" s="641" t="s">
        <v>374</v>
      </c>
      <c r="Y44" s="641"/>
      <c r="Z44" s="642"/>
      <c r="AA44" s="439">
        <f>SUM(AA17:AA43)</f>
        <v>0</v>
      </c>
      <c r="AB44" s="40" t="str">
        <f>CONCATENATE(L47,L48,L49,L50,L51,L52,L53,L54,L55,L56,AJ45,AM45,AC80,N156,R156,V203,H224,P179)</f>
        <v/>
      </c>
      <c r="AC44" s="203" t="s">
        <v>45</v>
      </c>
      <c r="AD44" s="33">
        <f>COUNTIF(AD17:AD43,"Entrant")</f>
        <v>0</v>
      </c>
      <c r="AE44" s="32">
        <f>27-COUNTIF(AE17:AE43,"")</f>
        <v>0</v>
      </c>
      <c r="AF44" s="32"/>
      <c r="AG44" s="32"/>
      <c r="AH44" s="32"/>
      <c r="AI44" s="32">
        <f>8-COUNTBLANK(AI17:AI24)</f>
        <v>0</v>
      </c>
      <c r="AJ44" s="32"/>
      <c r="AK44" s="32"/>
      <c r="AL44" s="32">
        <f>8-COUNTBLANK(AL17:AL24)</f>
        <v>0</v>
      </c>
      <c r="AM44" s="32">
        <f>27-COUNTIF(AM17:AM43,"")</f>
        <v>0</v>
      </c>
      <c r="AO44" s="32">
        <f>27-COUNTIF(AO17:AO43,"")</f>
        <v>0</v>
      </c>
      <c r="AP44" s="32">
        <f>27-COUNTIF(AP17:AP43,"")</f>
        <v>0</v>
      </c>
      <c r="AQ44" s="32"/>
      <c r="AR44" s="32"/>
      <c r="AS44" s="32"/>
      <c r="AT44" s="32"/>
      <c r="AU44" s="32">
        <f t="shared" ref="AU44:BA44" si="31">27-COUNTIF(AU17:AU43,"")</f>
        <v>0</v>
      </c>
      <c r="AV44" s="32">
        <f t="shared" si="31"/>
        <v>0</v>
      </c>
      <c r="AW44" s="32">
        <f t="shared" si="31"/>
        <v>0</v>
      </c>
      <c r="AX44" s="32">
        <f t="shared" si="31"/>
        <v>0</v>
      </c>
      <c r="AY44" s="32">
        <f t="shared" si="31"/>
        <v>0</v>
      </c>
      <c r="AZ44" s="32">
        <f t="shared" si="31"/>
        <v>0</v>
      </c>
      <c r="BA44" s="32">
        <f t="shared" si="31"/>
        <v>0</v>
      </c>
      <c r="BB44" s="32"/>
      <c r="BD44" s="32">
        <f>27-COUNTIF(BD17:BD43,"")</f>
        <v>0</v>
      </c>
      <c r="BF44" s="345"/>
      <c r="BG44" s="345"/>
      <c r="BH44" s="345">
        <f>27-COUNTIF(BH17:BH43,"")</f>
        <v>0</v>
      </c>
      <c r="BI44" s="345">
        <f>27-COUNTIF(BI17:BI43,"")</f>
        <v>0</v>
      </c>
      <c r="BJ44" s="333"/>
      <c r="BK44" s="184"/>
    </row>
    <row r="45" spans="1:65" x14ac:dyDescent="0.2">
      <c r="A45" s="254"/>
      <c r="B45" s="393"/>
      <c r="C45" s="295">
        <f>(10-COUNTBLANK(M47:M56))+T156+D246+Q179+U179</f>
        <v>0</v>
      </c>
      <c r="D45" s="376" t="str">
        <f>CONCATENATE(M47,M48,M49,M50,M51,M52,M53,M54,M55,M56,U156,L246,S179,V179)</f>
        <v/>
      </c>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42" t="str">
        <f>CONCATENATE("Number of Major Errors = ",BM45)</f>
        <v>Number of Major Errors = 0</v>
      </c>
      <c r="AC45" s="203" t="s">
        <v>46</v>
      </c>
      <c r="AD45" s="201"/>
      <c r="AF45" s="27"/>
      <c r="AJ45" t="str">
        <f>CONCATENATE(AI17,AI18,AI19,AI20,AI21,AI22,AI23,AI24)</f>
        <v/>
      </c>
      <c r="AM45" t="str">
        <f>CONCATENATE(AL17,AL18,AL19,AL20,AL21,AL22,AL23,AL24)</f>
        <v/>
      </c>
      <c r="AO45" s="32">
        <f>27-COUNTIF(AN17:AN43,"")</f>
        <v>0</v>
      </c>
      <c r="AP45" s="32"/>
      <c r="AQ45" s="1"/>
      <c r="AR45" s="32">
        <f>27-COUNTBLANK(AQ17:AQ43)</f>
        <v>0</v>
      </c>
      <c r="AS45" s="32">
        <f>27-COUNTBLANK(AR17:AR43)</f>
        <v>0</v>
      </c>
      <c r="AT45" s="32">
        <f>27-COUNTIF(AS17:AS43,"")</f>
        <v>0</v>
      </c>
      <c r="AU45" s="32">
        <f>27-COUNTIF(AT17:AT43,"")</f>
        <v>0</v>
      </c>
      <c r="BC45" s="32">
        <f>27-COUNTIF(BB17:BB43,"")</f>
        <v>0</v>
      </c>
      <c r="BD45" s="32">
        <f>27-COUNTIF(BC17:BC43,"")</f>
        <v>0</v>
      </c>
      <c r="BE45" s="32"/>
      <c r="BF45" s="32"/>
      <c r="BG45" s="1"/>
      <c r="BH45" s="1"/>
      <c r="BL45" s="202">
        <f>SUM(AF45:AU45)+C45</f>
        <v>0</v>
      </c>
      <c r="BM45" s="201">
        <f>SUM(AF44:BJ44)+(1-COUNTBLANK(AB10))+K44+M139+Q139+L185+F224+O162</f>
        <v>0</v>
      </c>
    </row>
    <row r="46" spans="1:65" ht="13.5" thickBot="1" x14ac:dyDescent="0.25">
      <c r="A46" s="254"/>
      <c r="B46" s="393"/>
      <c r="C46" s="30"/>
      <c r="D46" s="31"/>
      <c r="E46" s="31"/>
      <c r="F46" s="31"/>
      <c r="G46" s="31"/>
      <c r="H46" s="31"/>
      <c r="I46" s="31"/>
      <c r="J46" s="31"/>
      <c r="K46" s="31"/>
      <c r="L46" s="31"/>
      <c r="M46" s="31"/>
      <c r="N46" s="31"/>
      <c r="O46" s="31"/>
      <c r="P46" s="31"/>
      <c r="Q46" s="31"/>
      <c r="R46" s="31"/>
      <c r="S46" s="31"/>
      <c r="T46" s="31"/>
      <c r="U46" s="31"/>
      <c r="V46" s="31"/>
      <c r="W46" s="31"/>
      <c r="X46" s="31"/>
      <c r="Y46" s="31"/>
      <c r="Z46" s="31"/>
      <c r="AA46" s="31"/>
      <c r="AB46" s="43" t="str">
        <f>CONCATENATE("Number of Warnings = ",BL45)</f>
        <v>Number of Warnings = 0</v>
      </c>
      <c r="AC46" s="203" t="s">
        <v>47</v>
      </c>
      <c r="AF46" s="27"/>
      <c r="AQ46" s="1"/>
      <c r="AR46" s="1"/>
      <c r="AS46" s="1"/>
      <c r="AT46" s="1"/>
      <c r="BG46" s="1"/>
      <c r="BH46" s="1"/>
    </row>
    <row r="47" spans="1:65" hidden="1" x14ac:dyDescent="0.2">
      <c r="A47" s="254"/>
      <c r="B47" s="393"/>
      <c r="I47" s="144" t="s">
        <v>40</v>
      </c>
      <c r="J47" s="144"/>
      <c r="K47" s="412">
        <f>Entrants!J47+COUNTIF(K$17:K$43,I47)</f>
        <v>0</v>
      </c>
      <c r="L47" s="149" t="str">
        <f>IF(K47&gt;3,CONCATENATE(I47," has too many Members."),"")</f>
        <v/>
      </c>
      <c r="M47" s="186" t="str">
        <f>IF(AND(K47&gt;0,K47&lt;3),CONCATENATE(I47," has too few Members. "),"")</f>
        <v/>
      </c>
      <c r="O47" s="26"/>
      <c r="AC47" s="203" t="s">
        <v>48</v>
      </c>
      <c r="AF47" s="27"/>
      <c r="AQ47" s="1"/>
      <c r="AR47" s="1"/>
      <c r="AS47" s="1"/>
      <c r="AT47" s="1"/>
      <c r="BG47" s="1"/>
      <c r="BH47" s="1"/>
    </row>
    <row r="48" spans="1:65" hidden="1" x14ac:dyDescent="0.2">
      <c r="A48" s="255" t="s">
        <v>199</v>
      </c>
      <c r="B48" s="275"/>
      <c r="I48" s="144" t="s">
        <v>41</v>
      </c>
      <c r="J48" s="144"/>
      <c r="K48" s="412">
        <f>Entrants!J48+COUNTIF(K$17:K$43,I48)</f>
        <v>0</v>
      </c>
      <c r="L48" s="149" t="str">
        <f>IF(K48&gt;3,CONCATENATE(I48," has too many Members."),"")</f>
        <v/>
      </c>
      <c r="M48" s="186" t="str">
        <f t="shared" ref="M48:M56" si="32">IF(AND(K48&gt;0,K48&lt;3),CONCATENATE(I48," has too few Members. "),"")</f>
        <v/>
      </c>
      <c r="AC48" s="203" t="s">
        <v>49</v>
      </c>
      <c r="AF48" s="27"/>
      <c r="AQ48" s="1"/>
      <c r="AR48" s="1"/>
      <c r="AS48" s="1"/>
      <c r="AT48" s="1"/>
      <c r="BG48" s="1"/>
      <c r="BH48" s="1"/>
    </row>
    <row r="49" spans="1:60" hidden="1" x14ac:dyDescent="0.2">
      <c r="A49" s="252"/>
      <c r="E49" s="24"/>
      <c r="I49" s="144" t="s">
        <v>42</v>
      </c>
      <c r="J49" s="144"/>
      <c r="K49" s="412">
        <f>Entrants!J49+COUNTIF(K$17:K$43,I49)</f>
        <v>0</v>
      </c>
      <c r="L49" s="149" t="str">
        <f>IF(K49&gt;3,CONCATENATE(I49," has too many Members."),"")</f>
        <v/>
      </c>
      <c r="M49" s="186" t="str">
        <f t="shared" si="32"/>
        <v/>
      </c>
      <c r="AC49" s="213" t="s">
        <v>23</v>
      </c>
      <c r="AF49" s="27"/>
      <c r="AQ49" s="1"/>
      <c r="AR49" s="1"/>
      <c r="AS49" s="1"/>
      <c r="AT49" s="1"/>
      <c r="BG49" s="1"/>
      <c r="BH49" s="1"/>
    </row>
    <row r="50" spans="1:60" hidden="1" x14ac:dyDescent="0.2">
      <c r="A50" s="252"/>
      <c r="E50" s="24"/>
      <c r="I50" s="144" t="s">
        <v>43</v>
      </c>
      <c r="J50" s="144"/>
      <c r="K50" s="412">
        <f>Entrants!J50+COUNTIF(K$17:K$43,I50)</f>
        <v>0</v>
      </c>
      <c r="L50" s="149" t="str">
        <f>IF(K50&gt;3,CONCATENATE(I50," has too many Members."),"")</f>
        <v/>
      </c>
      <c r="M50" s="186" t="str">
        <f>IF(AND(K50&gt;0,K50&lt;3),CONCATENATE(I50," has too few Members. "),"")</f>
        <v/>
      </c>
      <c r="AC50" s="213" t="s">
        <v>24</v>
      </c>
      <c r="AF50" s="27"/>
      <c r="AQ50" s="1"/>
      <c r="AR50" s="1"/>
      <c r="AS50" s="1"/>
      <c r="AT50" s="1"/>
      <c r="BG50" s="1"/>
      <c r="BH50" s="1"/>
    </row>
    <row r="51" spans="1:60" hidden="1" x14ac:dyDescent="0.2">
      <c r="A51" s="252"/>
      <c r="E51" s="24"/>
      <c r="I51" s="144" t="s">
        <v>50</v>
      </c>
      <c r="J51" s="144"/>
      <c r="K51" s="412">
        <f>Entrants!J51+COUNTIF(K$17:K$43,I51)</f>
        <v>0</v>
      </c>
      <c r="L51" s="149" t="str">
        <f t="shared" ref="L51:L56" si="33">IF(K51&gt;3,CONCATENATE(I51," has too many Members."),"")</f>
        <v/>
      </c>
      <c r="M51" s="186" t="str">
        <f t="shared" si="32"/>
        <v/>
      </c>
      <c r="AC51" s="213" t="s">
        <v>25</v>
      </c>
      <c r="AF51" s="27"/>
      <c r="AQ51" s="1"/>
      <c r="AR51" s="1"/>
      <c r="AS51" s="1"/>
      <c r="AT51" s="1"/>
      <c r="BG51" s="1"/>
      <c r="BH51" s="1"/>
    </row>
    <row r="52" spans="1:60" hidden="1" x14ac:dyDescent="0.2">
      <c r="A52" s="252"/>
      <c r="E52" s="24"/>
      <c r="I52" s="144" t="s">
        <v>51</v>
      </c>
      <c r="J52" s="144"/>
      <c r="K52" s="412">
        <f>Entrants!J52+COUNTIF(K$17:K$43,I52)</f>
        <v>0</v>
      </c>
      <c r="L52" s="149" t="str">
        <f t="shared" si="33"/>
        <v/>
      </c>
      <c r="M52" s="186" t="str">
        <f t="shared" si="32"/>
        <v/>
      </c>
      <c r="AC52" s="438" t="s">
        <v>29</v>
      </c>
      <c r="AF52" s="27"/>
      <c r="AQ52" s="1"/>
      <c r="AR52" s="1"/>
      <c r="AS52" s="1"/>
      <c r="AT52" s="1"/>
      <c r="BG52" s="1"/>
      <c r="BH52" s="1"/>
    </row>
    <row r="53" spans="1:60" hidden="1" x14ac:dyDescent="0.2">
      <c r="A53" s="252"/>
      <c r="E53" s="24"/>
      <c r="I53" s="144" t="s">
        <v>52</v>
      </c>
      <c r="J53" s="144"/>
      <c r="K53" s="412">
        <f>Entrants!J53+COUNTIF(K$17:K$43,I53)</f>
        <v>0</v>
      </c>
      <c r="L53" s="149" t="str">
        <f t="shared" si="33"/>
        <v/>
      </c>
      <c r="M53" s="186" t="str">
        <f t="shared" si="32"/>
        <v/>
      </c>
      <c r="AC53" s="438" t="s">
        <v>28</v>
      </c>
      <c r="AF53" s="27"/>
      <c r="AQ53" s="1"/>
      <c r="AR53" s="1"/>
      <c r="AS53" s="1"/>
      <c r="AT53" s="1"/>
      <c r="BG53" s="1"/>
      <c r="BH53" s="1"/>
    </row>
    <row r="54" spans="1:60" hidden="1" x14ac:dyDescent="0.2">
      <c r="A54" s="252"/>
      <c r="E54" s="24"/>
      <c r="I54" s="144" t="s">
        <v>53</v>
      </c>
      <c r="J54" s="144"/>
      <c r="K54" s="412">
        <f>Entrants!J54+COUNTIF(K$17:K$43,I54)</f>
        <v>0</v>
      </c>
      <c r="L54" s="149" t="str">
        <f t="shared" si="33"/>
        <v/>
      </c>
      <c r="M54" s="186" t="str">
        <f t="shared" si="32"/>
        <v/>
      </c>
      <c r="U54" s="81"/>
      <c r="AC54" s="203" t="s">
        <v>67</v>
      </c>
      <c r="AF54" s="27"/>
      <c r="AQ54" s="1"/>
      <c r="AR54" s="1"/>
      <c r="AS54" s="1"/>
      <c r="AT54" s="1"/>
      <c r="BG54" s="1"/>
      <c r="BH54" s="1"/>
    </row>
    <row r="55" spans="1:60" hidden="1" x14ac:dyDescent="0.2">
      <c r="A55" s="252"/>
      <c r="E55" s="24"/>
      <c r="I55" s="144" t="s">
        <v>54</v>
      </c>
      <c r="J55" s="144"/>
      <c r="K55" s="412">
        <f>Entrants!J55+COUNTIF(K$17:K$43,I55)</f>
        <v>0</v>
      </c>
      <c r="L55" s="149" t="str">
        <f t="shared" si="33"/>
        <v/>
      </c>
      <c r="M55" s="186" t="str">
        <f t="shared" si="32"/>
        <v/>
      </c>
      <c r="AC55" s="203" t="s">
        <v>66</v>
      </c>
      <c r="AF55" s="27"/>
      <c r="AQ55" s="1"/>
      <c r="AR55" s="1"/>
      <c r="AS55" s="1"/>
      <c r="AT55" s="1"/>
      <c r="BG55" s="1"/>
      <c r="BH55" s="1"/>
    </row>
    <row r="56" spans="1:60" hidden="1" x14ac:dyDescent="0.2">
      <c r="A56" s="252"/>
      <c r="E56" s="24"/>
      <c r="I56" s="144" t="s">
        <v>108</v>
      </c>
      <c r="J56" s="144"/>
      <c r="K56" s="412">
        <f>Entrants!J56+COUNTIF(K$17:K$43,I56)</f>
        <v>0</v>
      </c>
      <c r="L56" s="149" t="str">
        <f t="shared" si="33"/>
        <v/>
      </c>
      <c r="M56" s="186" t="str">
        <f t="shared" si="32"/>
        <v/>
      </c>
      <c r="AC56" s="203" t="s">
        <v>65</v>
      </c>
      <c r="AF56" s="27"/>
      <c r="AQ56" s="1"/>
      <c r="AR56" s="1"/>
      <c r="AS56" s="1"/>
      <c r="AT56" s="1"/>
      <c r="BG56" s="1"/>
      <c r="BH56" s="1"/>
    </row>
    <row r="57" spans="1:60" ht="38.25" hidden="1" x14ac:dyDescent="0.2">
      <c r="A57" s="252"/>
      <c r="E57" s="95"/>
      <c r="H57" s="1" t="s">
        <v>110</v>
      </c>
      <c r="I57" s="1" t="s">
        <v>111</v>
      </c>
      <c r="J57" s="1"/>
      <c r="K57" s="82" t="s">
        <v>112</v>
      </c>
      <c r="L57" s="32" t="s">
        <v>113</v>
      </c>
      <c r="M57" s="1" t="s">
        <v>114</v>
      </c>
      <c r="N57" s="1" t="s">
        <v>115</v>
      </c>
      <c r="O57" s="1" t="s">
        <v>70</v>
      </c>
      <c r="P57" s="1" t="s">
        <v>116</v>
      </c>
      <c r="Q57" s="105" t="s">
        <v>117</v>
      </c>
      <c r="R57" s="105" t="s">
        <v>134</v>
      </c>
      <c r="S57" s="105" t="s">
        <v>135</v>
      </c>
      <c r="T57" s="105" t="s">
        <v>132</v>
      </c>
      <c r="U57" s="105" t="s">
        <v>118</v>
      </c>
      <c r="V57" s="105" t="s">
        <v>119</v>
      </c>
      <c r="W57" s="105" t="s">
        <v>133</v>
      </c>
      <c r="X57" s="105"/>
      <c r="Y57" s="105" t="s">
        <v>128</v>
      </c>
      <c r="Z57" s="105" t="s">
        <v>130</v>
      </c>
      <c r="AA57" s="105"/>
      <c r="AC57" s="203" t="s">
        <v>64</v>
      </c>
      <c r="AF57" s="27"/>
      <c r="AQ57" s="1"/>
      <c r="AR57" s="1"/>
      <c r="AS57" s="1"/>
      <c r="AT57" s="1"/>
      <c r="BG57" s="1"/>
      <c r="BH57" s="1"/>
    </row>
    <row r="58" spans="1:60" hidden="1" x14ac:dyDescent="0.2">
      <c r="A58" s="256" t="str">
        <f>IF(COUNTBLANK(C17:D17)&lt;2,E17,"")</f>
        <v/>
      </c>
      <c r="B58" s="394"/>
      <c r="C58" t="str">
        <f>TRIM(PROPER(C17))</f>
        <v/>
      </c>
      <c r="D58" t="str">
        <f>TRIM(PROPER(D17))</f>
        <v/>
      </c>
      <c r="E58" s="1">
        <f>E17</f>
        <v>0</v>
      </c>
      <c r="F58" t="str">
        <f>UPPER(K17)</f>
        <v/>
      </c>
      <c r="H58" s="1">
        <f>DAY(E58)</f>
        <v>0</v>
      </c>
      <c r="I58" s="1">
        <f>MONTH(E58)</f>
        <v>1</v>
      </c>
      <c r="J58" s="1"/>
      <c r="K58" s="1">
        <f>YEAR(E58)</f>
        <v>1900</v>
      </c>
      <c r="L58" s="32">
        <f t="shared" ref="L58:L84" si="34">DAY(Q_Date)-H58</f>
        <v>19</v>
      </c>
      <c r="M58" s="32">
        <f t="shared" ref="M58:M84" si="35">MONTH(Q_Date)-I58</f>
        <v>9</v>
      </c>
      <c r="N58" s="32">
        <f t="shared" ref="N58:N84" si="36">YEAR(Q_Date)-K58</f>
        <v>119</v>
      </c>
      <c r="O58" s="1">
        <f>N58+M58/12+L58/365</f>
        <v>119.80205479452054</v>
      </c>
      <c r="P58" s="1" t="str">
        <f t="shared" ref="P58:P69" si="37">IF(C58&lt;&gt;"",INT(O58),"")</f>
        <v/>
      </c>
      <c r="Q58" s="1" t="str">
        <f t="shared" ref="Q58:Q84" si="38">IF(AND($P58&gt;18,$M17="N"),"",IF(AND(COUNTBLANK($L17)=1,$P58&lt;14),1,""))</f>
        <v/>
      </c>
      <c r="R58" t="str">
        <f>IF(AND(O58&gt;=13.5,O58&lt;14),1,"")</f>
        <v/>
      </c>
      <c r="S58" s="1" t="str">
        <f t="shared" ref="S58:S84" si="39">IF(AND($P58&gt;18,$M17="N"),"",IF(AND(COUNTBLANK($L17)=1,$P58&gt;=14,$P58&lt;18),1,""))</f>
        <v/>
      </c>
      <c r="U58" s="1" t="str">
        <f t="shared" ref="U58:U84" si="40">IF(AND($P58&gt;18,$M17="N"),"",IF(AND(COUNTBLANK($L17)=1,$P58&gt;=18,$P58&lt;25),1,""))</f>
        <v/>
      </c>
      <c r="V58" s="1" t="str">
        <f t="shared" ref="V58:V69" si="41">IF(AND($P58&gt;18,$M17="N"),"",IF(AND(COUNTBLANK($L17)=1,$C58&lt;&gt;"",$P58&gt;=25),1,""))</f>
        <v/>
      </c>
      <c r="W58" t="str">
        <f>IF(SUM(Q58:V58)=1,1,"")</f>
        <v/>
      </c>
      <c r="Y58" t="str">
        <f>IF(COUNTIF(L17,"R")=1,1,"")</f>
        <v/>
      </c>
      <c r="Z58" t="str">
        <f>IF(COUNTIF(M17,"n")=1,1,"")</f>
        <v/>
      </c>
      <c r="AC58" s="203" t="s">
        <v>63</v>
      </c>
      <c r="AF58" s="27"/>
      <c r="AQ58" s="1"/>
      <c r="AR58" s="1"/>
      <c r="AS58" s="1"/>
      <c r="AT58" s="1"/>
      <c r="BG58" s="1"/>
      <c r="BH58" s="1"/>
    </row>
    <row r="59" spans="1:60" hidden="1" x14ac:dyDescent="0.2">
      <c r="A59" s="256" t="str">
        <f t="shared" ref="A59:A84" si="42">IF(COUNTBLANK(C18:D18)&lt;2,E18,"")</f>
        <v/>
      </c>
      <c r="B59" s="394"/>
      <c r="C59" t="str">
        <f t="shared" ref="C59:D59" si="43">TRIM(PROPER(C18))</f>
        <v/>
      </c>
      <c r="D59" t="str">
        <f t="shared" si="43"/>
        <v/>
      </c>
      <c r="E59" s="1">
        <f t="shared" ref="E59:E84" si="44">E18</f>
        <v>0</v>
      </c>
      <c r="F59" t="str">
        <f t="shared" ref="F59:F84" si="45">UPPER(K18)</f>
        <v/>
      </c>
      <c r="H59" s="1">
        <f t="shared" ref="H59:H84" si="46">DAY(E59)</f>
        <v>0</v>
      </c>
      <c r="I59" s="1">
        <f t="shared" ref="I59:I84" si="47">MONTH(E59)</f>
        <v>1</v>
      </c>
      <c r="J59" s="1"/>
      <c r="K59" s="1">
        <f t="shared" ref="K59:K84" si="48">YEAR(E59)</f>
        <v>1900</v>
      </c>
      <c r="L59" s="32">
        <f t="shared" si="34"/>
        <v>19</v>
      </c>
      <c r="M59" s="32">
        <f t="shared" si="35"/>
        <v>9</v>
      </c>
      <c r="N59" s="32">
        <f t="shared" si="36"/>
        <v>119</v>
      </c>
      <c r="O59" s="1">
        <f t="shared" ref="O59:O84" si="49">N59+M59/12+L59/365</f>
        <v>119.80205479452054</v>
      </c>
      <c r="P59" s="1" t="str">
        <f t="shared" si="37"/>
        <v/>
      </c>
      <c r="Q59" s="1" t="str">
        <f t="shared" si="38"/>
        <v/>
      </c>
      <c r="R59" t="str">
        <f t="shared" ref="R59:R84" si="50">IF(AND(O59&gt;=13.5,O59&lt;14),1,"")</f>
        <v/>
      </c>
      <c r="S59" s="1" t="str">
        <f t="shared" si="39"/>
        <v/>
      </c>
      <c r="U59" s="1" t="str">
        <f t="shared" si="40"/>
        <v/>
      </c>
      <c r="V59" s="1" t="str">
        <f t="shared" si="41"/>
        <v/>
      </c>
      <c r="W59" t="str">
        <f t="shared" ref="W59:W84" si="51">IF(SUM(Q59:V59)=1,1,"")</f>
        <v/>
      </c>
      <c r="Y59" t="str">
        <f t="shared" ref="Y59:Y81" si="52">IF(COUNTIF(L18,"R")=1,1,"")</f>
        <v/>
      </c>
      <c r="Z59" t="str">
        <f t="shared" ref="Z59:Z81" si="53">IF(COUNTIF(M18,"n")=1,1,"")</f>
        <v/>
      </c>
      <c r="AC59" s="203" t="s">
        <v>62</v>
      </c>
      <c r="AF59" s="27"/>
      <c r="AQ59" s="1"/>
      <c r="AR59" s="1"/>
      <c r="AS59" s="1"/>
      <c r="AT59" s="1"/>
      <c r="BG59" s="1"/>
      <c r="BH59" s="1"/>
    </row>
    <row r="60" spans="1:60" hidden="1" x14ac:dyDescent="0.2">
      <c r="A60" s="256" t="str">
        <f t="shared" si="42"/>
        <v/>
      </c>
      <c r="B60" s="394"/>
      <c r="C60" t="str">
        <f t="shared" ref="C60:D60" si="54">TRIM(PROPER(C19))</f>
        <v/>
      </c>
      <c r="D60" t="str">
        <f t="shared" si="54"/>
        <v/>
      </c>
      <c r="E60" s="1">
        <f t="shared" si="44"/>
        <v>0</v>
      </c>
      <c r="F60" t="str">
        <f t="shared" si="45"/>
        <v/>
      </c>
      <c r="H60" s="1">
        <f t="shared" si="46"/>
        <v>0</v>
      </c>
      <c r="I60" s="1">
        <f t="shared" si="47"/>
        <v>1</v>
      </c>
      <c r="J60" s="1"/>
      <c r="K60" s="1">
        <f t="shared" si="48"/>
        <v>1900</v>
      </c>
      <c r="L60" s="32">
        <f t="shared" si="34"/>
        <v>19</v>
      </c>
      <c r="M60" s="32">
        <f t="shared" si="35"/>
        <v>9</v>
      </c>
      <c r="N60" s="32">
        <f t="shared" si="36"/>
        <v>119</v>
      </c>
      <c r="O60" s="1">
        <f t="shared" si="49"/>
        <v>119.80205479452054</v>
      </c>
      <c r="P60" s="1" t="str">
        <f t="shared" si="37"/>
        <v/>
      </c>
      <c r="Q60" s="1" t="str">
        <f t="shared" si="38"/>
        <v/>
      </c>
      <c r="R60" t="str">
        <f t="shared" si="50"/>
        <v/>
      </c>
      <c r="S60" s="1" t="str">
        <f t="shared" si="39"/>
        <v/>
      </c>
      <c r="U60" s="1" t="str">
        <f t="shared" si="40"/>
        <v/>
      </c>
      <c r="V60" s="1" t="str">
        <f t="shared" si="41"/>
        <v/>
      </c>
      <c r="W60" t="str">
        <f t="shared" si="51"/>
        <v/>
      </c>
      <c r="Y60" t="str">
        <f t="shared" si="52"/>
        <v/>
      </c>
      <c r="Z60" t="str">
        <f t="shared" si="53"/>
        <v/>
      </c>
      <c r="AC60" s="203" t="s">
        <v>61</v>
      </c>
      <c r="AF60" s="27"/>
      <c r="AQ60" s="1"/>
      <c r="AR60" s="1"/>
      <c r="AS60" s="1"/>
      <c r="AT60" s="1"/>
      <c r="BG60" s="1"/>
      <c r="BH60" s="1"/>
    </row>
    <row r="61" spans="1:60" hidden="1" x14ac:dyDescent="0.2">
      <c r="A61" s="256" t="str">
        <f t="shared" si="42"/>
        <v/>
      </c>
      <c r="B61" s="394"/>
      <c r="C61" t="str">
        <f t="shared" ref="C61:D61" si="55">TRIM(PROPER(C20))</f>
        <v/>
      </c>
      <c r="D61" t="str">
        <f t="shared" si="55"/>
        <v/>
      </c>
      <c r="E61" s="1">
        <f t="shared" si="44"/>
        <v>0</v>
      </c>
      <c r="F61" t="str">
        <f t="shared" si="45"/>
        <v/>
      </c>
      <c r="H61" s="1">
        <f t="shared" si="46"/>
        <v>0</v>
      </c>
      <c r="I61" s="1">
        <f t="shared" si="47"/>
        <v>1</v>
      </c>
      <c r="J61" s="1"/>
      <c r="K61" s="1">
        <f t="shared" si="48"/>
        <v>1900</v>
      </c>
      <c r="L61" s="32">
        <f t="shared" si="34"/>
        <v>19</v>
      </c>
      <c r="M61" s="32">
        <f t="shared" si="35"/>
        <v>9</v>
      </c>
      <c r="N61" s="32">
        <f t="shared" si="36"/>
        <v>119</v>
      </c>
      <c r="O61" s="1">
        <f t="shared" si="49"/>
        <v>119.80205479452054</v>
      </c>
      <c r="P61" s="1" t="str">
        <f t="shared" si="37"/>
        <v/>
      </c>
      <c r="Q61" s="1" t="str">
        <f t="shared" si="38"/>
        <v/>
      </c>
      <c r="R61" t="str">
        <f t="shared" si="50"/>
        <v/>
      </c>
      <c r="S61" s="1" t="str">
        <f t="shared" si="39"/>
        <v/>
      </c>
      <c r="U61" s="1" t="str">
        <f t="shared" si="40"/>
        <v/>
      </c>
      <c r="V61" s="1" t="str">
        <f t="shared" si="41"/>
        <v/>
      </c>
      <c r="W61" t="str">
        <f t="shared" si="51"/>
        <v/>
      </c>
      <c r="Y61" t="str">
        <f t="shared" si="52"/>
        <v/>
      </c>
      <c r="Z61" t="str">
        <f t="shared" si="53"/>
        <v/>
      </c>
      <c r="AC61" s="203" t="s">
        <v>60</v>
      </c>
      <c r="AF61" s="27"/>
      <c r="AQ61" s="1"/>
      <c r="AR61" s="1"/>
      <c r="AS61" s="1"/>
      <c r="AT61" s="1"/>
      <c r="BG61" s="1"/>
      <c r="BH61" s="1"/>
    </row>
    <row r="62" spans="1:60" hidden="1" x14ac:dyDescent="0.2">
      <c r="A62" s="256" t="str">
        <f t="shared" si="42"/>
        <v/>
      </c>
      <c r="B62" s="394"/>
      <c r="C62" t="str">
        <f t="shared" ref="C62:D62" si="56">TRIM(PROPER(C21))</f>
        <v/>
      </c>
      <c r="D62" t="str">
        <f t="shared" si="56"/>
        <v/>
      </c>
      <c r="E62" s="1">
        <f t="shared" si="44"/>
        <v>0</v>
      </c>
      <c r="F62" t="str">
        <f t="shared" si="45"/>
        <v/>
      </c>
      <c r="H62" s="1">
        <f t="shared" si="46"/>
        <v>0</v>
      </c>
      <c r="I62" s="1">
        <f t="shared" si="47"/>
        <v>1</v>
      </c>
      <c r="J62" s="1"/>
      <c r="K62" s="1">
        <f t="shared" si="48"/>
        <v>1900</v>
      </c>
      <c r="L62" s="32">
        <f t="shared" si="34"/>
        <v>19</v>
      </c>
      <c r="M62" s="32">
        <f t="shared" si="35"/>
        <v>9</v>
      </c>
      <c r="N62" s="32">
        <f t="shared" si="36"/>
        <v>119</v>
      </c>
      <c r="O62" s="1">
        <f t="shared" si="49"/>
        <v>119.80205479452054</v>
      </c>
      <c r="P62" s="1" t="str">
        <f t="shared" si="37"/>
        <v/>
      </c>
      <c r="Q62" s="1" t="str">
        <f t="shared" si="38"/>
        <v/>
      </c>
      <c r="R62" t="str">
        <f t="shared" si="50"/>
        <v/>
      </c>
      <c r="S62" s="1" t="str">
        <f t="shared" si="39"/>
        <v/>
      </c>
      <c r="U62" s="1" t="str">
        <f t="shared" si="40"/>
        <v/>
      </c>
      <c r="V62" s="1" t="str">
        <f t="shared" si="41"/>
        <v/>
      </c>
      <c r="W62" t="str">
        <f t="shared" si="51"/>
        <v/>
      </c>
      <c r="Y62" t="str">
        <f t="shared" si="52"/>
        <v/>
      </c>
      <c r="Z62" t="str">
        <f t="shared" si="53"/>
        <v/>
      </c>
      <c r="AC62" s="203" t="s">
        <v>59</v>
      </c>
      <c r="AF62" s="27"/>
      <c r="AQ62" s="1"/>
      <c r="AR62" s="1"/>
      <c r="AS62" s="1"/>
      <c r="AT62" s="1"/>
      <c r="BG62" s="1"/>
      <c r="BH62" s="1"/>
    </row>
    <row r="63" spans="1:60" hidden="1" x14ac:dyDescent="0.2">
      <c r="A63" s="256" t="str">
        <f t="shared" si="42"/>
        <v/>
      </c>
      <c r="B63" s="394"/>
      <c r="C63" t="str">
        <f t="shared" ref="C63:D63" si="57">TRIM(PROPER(C22))</f>
        <v/>
      </c>
      <c r="D63" t="str">
        <f t="shared" si="57"/>
        <v/>
      </c>
      <c r="E63" s="1">
        <f t="shared" si="44"/>
        <v>0</v>
      </c>
      <c r="F63" t="str">
        <f t="shared" si="45"/>
        <v/>
      </c>
      <c r="H63" s="1">
        <f t="shared" si="46"/>
        <v>0</v>
      </c>
      <c r="I63" s="1">
        <f t="shared" si="47"/>
        <v>1</v>
      </c>
      <c r="J63" s="1"/>
      <c r="K63" s="1">
        <f t="shared" si="48"/>
        <v>1900</v>
      </c>
      <c r="L63" s="32">
        <f t="shared" si="34"/>
        <v>19</v>
      </c>
      <c r="M63" s="32">
        <f t="shared" si="35"/>
        <v>9</v>
      </c>
      <c r="N63" s="32">
        <f t="shared" si="36"/>
        <v>119</v>
      </c>
      <c r="O63" s="1">
        <f t="shared" si="49"/>
        <v>119.80205479452054</v>
      </c>
      <c r="P63" s="1" t="str">
        <f t="shared" si="37"/>
        <v/>
      </c>
      <c r="Q63" s="1" t="str">
        <f t="shared" si="38"/>
        <v/>
      </c>
      <c r="R63" t="str">
        <f t="shared" si="50"/>
        <v/>
      </c>
      <c r="S63" s="1" t="str">
        <f t="shared" si="39"/>
        <v/>
      </c>
      <c r="U63" s="1" t="str">
        <f t="shared" si="40"/>
        <v/>
      </c>
      <c r="V63" s="1" t="str">
        <f t="shared" si="41"/>
        <v/>
      </c>
      <c r="W63" t="str">
        <f t="shared" si="51"/>
        <v/>
      </c>
      <c r="Y63" t="str">
        <f t="shared" si="52"/>
        <v/>
      </c>
      <c r="Z63" t="str">
        <f t="shared" si="53"/>
        <v/>
      </c>
      <c r="AC63" s="203" t="s">
        <v>58</v>
      </c>
      <c r="AF63" s="27"/>
      <c r="AQ63" s="1"/>
      <c r="AR63" s="1"/>
      <c r="AS63" s="1"/>
      <c r="AT63" s="1"/>
      <c r="BG63" s="1"/>
      <c r="BH63" s="1"/>
    </row>
    <row r="64" spans="1:60" hidden="1" x14ac:dyDescent="0.2">
      <c r="A64" s="256" t="str">
        <f t="shared" si="42"/>
        <v/>
      </c>
      <c r="B64" s="394"/>
      <c r="C64" t="str">
        <f t="shared" ref="C64:D64" si="58">TRIM(PROPER(C23))</f>
        <v/>
      </c>
      <c r="D64" t="str">
        <f t="shared" si="58"/>
        <v/>
      </c>
      <c r="E64" s="1">
        <f t="shared" si="44"/>
        <v>0</v>
      </c>
      <c r="F64" t="str">
        <f t="shared" si="45"/>
        <v/>
      </c>
      <c r="H64" s="1">
        <f t="shared" si="46"/>
        <v>0</v>
      </c>
      <c r="I64" s="1">
        <f t="shared" si="47"/>
        <v>1</v>
      </c>
      <c r="J64" s="1"/>
      <c r="K64" s="1">
        <f t="shared" si="48"/>
        <v>1900</v>
      </c>
      <c r="L64" s="32">
        <f t="shared" si="34"/>
        <v>19</v>
      </c>
      <c r="M64" s="32">
        <f t="shared" si="35"/>
        <v>9</v>
      </c>
      <c r="N64" s="32">
        <f t="shared" si="36"/>
        <v>119</v>
      </c>
      <c r="O64" s="1">
        <f t="shared" si="49"/>
        <v>119.80205479452054</v>
      </c>
      <c r="P64" s="1" t="str">
        <f t="shared" si="37"/>
        <v/>
      </c>
      <c r="Q64" s="1" t="str">
        <f t="shared" si="38"/>
        <v/>
      </c>
      <c r="R64" t="str">
        <f t="shared" si="50"/>
        <v/>
      </c>
      <c r="S64" s="1" t="str">
        <f t="shared" si="39"/>
        <v/>
      </c>
      <c r="U64" s="1" t="str">
        <f t="shared" si="40"/>
        <v/>
      </c>
      <c r="V64" s="1" t="str">
        <f t="shared" si="41"/>
        <v/>
      </c>
      <c r="W64" t="str">
        <f t="shared" si="51"/>
        <v/>
      </c>
      <c r="Y64" t="str">
        <f t="shared" si="52"/>
        <v/>
      </c>
      <c r="Z64" t="str">
        <f t="shared" si="53"/>
        <v/>
      </c>
      <c r="AC64" s="203" t="s">
        <v>57</v>
      </c>
      <c r="AF64" s="27"/>
      <c r="AQ64" s="1"/>
      <c r="AR64" s="1"/>
      <c r="AS64" s="1"/>
      <c r="AT64" s="1"/>
      <c r="BG64" s="1"/>
      <c r="BH64" s="1"/>
    </row>
    <row r="65" spans="1:60" hidden="1" x14ac:dyDescent="0.2">
      <c r="A65" s="256" t="str">
        <f t="shared" si="42"/>
        <v/>
      </c>
      <c r="B65" s="394"/>
      <c r="C65" t="str">
        <f t="shared" ref="C65:D65" si="59">TRIM(PROPER(C24))</f>
        <v/>
      </c>
      <c r="D65" t="str">
        <f t="shared" si="59"/>
        <v/>
      </c>
      <c r="E65" s="1">
        <f t="shared" si="44"/>
        <v>0</v>
      </c>
      <c r="F65" t="str">
        <f t="shared" si="45"/>
        <v/>
      </c>
      <c r="H65" s="1">
        <f t="shared" si="46"/>
        <v>0</v>
      </c>
      <c r="I65" s="1">
        <f t="shared" si="47"/>
        <v>1</v>
      </c>
      <c r="J65" s="1"/>
      <c r="K65" s="1">
        <f t="shared" si="48"/>
        <v>1900</v>
      </c>
      <c r="L65" s="32">
        <f t="shared" si="34"/>
        <v>19</v>
      </c>
      <c r="M65" s="32">
        <f t="shared" si="35"/>
        <v>9</v>
      </c>
      <c r="N65" s="32">
        <f t="shared" si="36"/>
        <v>119</v>
      </c>
      <c r="O65" s="1">
        <f t="shared" si="49"/>
        <v>119.80205479452054</v>
      </c>
      <c r="P65" s="1" t="str">
        <f t="shared" si="37"/>
        <v/>
      </c>
      <c r="Q65" s="1" t="str">
        <f t="shared" si="38"/>
        <v/>
      </c>
      <c r="R65" t="str">
        <f t="shared" si="50"/>
        <v/>
      </c>
      <c r="S65" s="1" t="str">
        <f t="shared" si="39"/>
        <v/>
      </c>
      <c r="U65" s="1" t="str">
        <f t="shared" si="40"/>
        <v/>
      </c>
      <c r="V65" s="1" t="str">
        <f t="shared" si="41"/>
        <v/>
      </c>
      <c r="W65" t="str">
        <f t="shared" si="51"/>
        <v/>
      </c>
      <c r="Y65" t="str">
        <f t="shared" si="52"/>
        <v/>
      </c>
      <c r="Z65" t="str">
        <f t="shared" si="53"/>
        <v/>
      </c>
      <c r="AC65" s="203" t="s">
        <v>56</v>
      </c>
      <c r="AF65" s="27"/>
      <c r="AQ65" s="1"/>
      <c r="AR65" s="1"/>
      <c r="AS65" s="1"/>
      <c r="AT65" s="1"/>
      <c r="BG65" s="1"/>
      <c r="BH65" s="1"/>
    </row>
    <row r="66" spans="1:60" hidden="1" x14ac:dyDescent="0.2">
      <c r="A66" s="256" t="str">
        <f t="shared" si="42"/>
        <v/>
      </c>
      <c r="B66" s="394"/>
      <c r="C66" t="str">
        <f t="shared" ref="C66:D66" si="60">TRIM(PROPER(C25))</f>
        <v/>
      </c>
      <c r="D66" t="str">
        <f t="shared" si="60"/>
        <v/>
      </c>
      <c r="E66" s="1">
        <f t="shared" si="44"/>
        <v>0</v>
      </c>
      <c r="F66" t="str">
        <f t="shared" si="45"/>
        <v/>
      </c>
      <c r="H66" s="1">
        <f t="shared" si="46"/>
        <v>0</v>
      </c>
      <c r="I66" s="1">
        <f t="shared" si="47"/>
        <v>1</v>
      </c>
      <c r="J66" s="1"/>
      <c r="K66" s="1">
        <f t="shared" si="48"/>
        <v>1900</v>
      </c>
      <c r="L66" s="32">
        <f t="shared" si="34"/>
        <v>19</v>
      </c>
      <c r="M66" s="32">
        <f t="shared" si="35"/>
        <v>9</v>
      </c>
      <c r="N66" s="32">
        <f t="shared" si="36"/>
        <v>119</v>
      </c>
      <c r="O66" s="1">
        <f t="shared" si="49"/>
        <v>119.80205479452054</v>
      </c>
      <c r="P66" s="1" t="str">
        <f t="shared" si="37"/>
        <v/>
      </c>
      <c r="Q66" s="1" t="str">
        <f t="shared" si="38"/>
        <v/>
      </c>
      <c r="R66" t="str">
        <f t="shared" si="50"/>
        <v/>
      </c>
      <c r="S66" s="1" t="str">
        <f t="shared" si="39"/>
        <v/>
      </c>
      <c r="U66" s="1" t="str">
        <f t="shared" si="40"/>
        <v/>
      </c>
      <c r="V66" s="1" t="str">
        <f t="shared" si="41"/>
        <v/>
      </c>
      <c r="W66" t="str">
        <f t="shared" si="51"/>
        <v/>
      </c>
      <c r="Y66" t="str">
        <f t="shared" si="52"/>
        <v/>
      </c>
      <c r="Z66" t="str">
        <f t="shared" si="53"/>
        <v/>
      </c>
      <c r="AC66" s="203" t="s">
        <v>44</v>
      </c>
      <c r="AF66" s="27"/>
      <c r="AQ66" s="1"/>
      <c r="AR66" s="1"/>
      <c r="AS66" s="1"/>
      <c r="AT66" s="1"/>
      <c r="BG66" s="1"/>
      <c r="BH66" s="1"/>
    </row>
    <row r="67" spans="1:60" hidden="1" x14ac:dyDescent="0.2">
      <c r="A67" s="256" t="str">
        <f t="shared" si="42"/>
        <v/>
      </c>
      <c r="B67" s="394"/>
      <c r="C67" t="str">
        <f t="shared" ref="C67:D67" si="61">TRIM(PROPER(C26))</f>
        <v/>
      </c>
      <c r="D67" t="str">
        <f t="shared" si="61"/>
        <v/>
      </c>
      <c r="E67" s="1">
        <f t="shared" si="44"/>
        <v>0</v>
      </c>
      <c r="F67" t="str">
        <f t="shared" si="45"/>
        <v/>
      </c>
      <c r="H67" s="1">
        <f t="shared" si="46"/>
        <v>0</v>
      </c>
      <c r="I67" s="1">
        <f t="shared" si="47"/>
        <v>1</v>
      </c>
      <c r="J67" s="1"/>
      <c r="K67" s="1">
        <f t="shared" si="48"/>
        <v>1900</v>
      </c>
      <c r="L67" s="32">
        <f t="shared" si="34"/>
        <v>19</v>
      </c>
      <c r="M67" s="32">
        <f t="shared" si="35"/>
        <v>9</v>
      </c>
      <c r="N67" s="32">
        <f t="shared" si="36"/>
        <v>119</v>
      </c>
      <c r="O67" s="1">
        <f t="shared" si="49"/>
        <v>119.80205479452054</v>
      </c>
      <c r="P67" s="1" t="str">
        <f t="shared" si="37"/>
        <v/>
      </c>
      <c r="Q67" s="1" t="str">
        <f t="shared" si="38"/>
        <v/>
      </c>
      <c r="R67" t="str">
        <f t="shared" si="50"/>
        <v/>
      </c>
      <c r="S67" s="1" t="str">
        <f t="shared" si="39"/>
        <v/>
      </c>
      <c r="U67" s="1" t="str">
        <f t="shared" si="40"/>
        <v/>
      </c>
      <c r="V67" s="1" t="str">
        <f t="shared" si="41"/>
        <v/>
      </c>
      <c r="W67" t="str">
        <f t="shared" si="51"/>
        <v/>
      </c>
      <c r="Y67" t="str">
        <f t="shared" si="52"/>
        <v/>
      </c>
      <c r="Z67" t="str">
        <f t="shared" si="53"/>
        <v/>
      </c>
      <c r="AC67" s="203" t="s">
        <v>45</v>
      </c>
      <c r="AF67" s="27"/>
      <c r="AQ67" s="1"/>
      <c r="AR67" s="1"/>
      <c r="AS67" s="1"/>
      <c r="AT67" s="1"/>
      <c r="BG67" s="1"/>
      <c r="BH67" s="1"/>
    </row>
    <row r="68" spans="1:60" hidden="1" x14ac:dyDescent="0.2">
      <c r="A68" s="256" t="str">
        <f t="shared" si="42"/>
        <v/>
      </c>
      <c r="B68" s="394"/>
      <c r="C68" t="str">
        <f t="shared" ref="C68:D68" si="62">TRIM(PROPER(C27))</f>
        <v/>
      </c>
      <c r="D68" t="str">
        <f t="shared" si="62"/>
        <v/>
      </c>
      <c r="E68" s="1">
        <f t="shared" si="44"/>
        <v>0</v>
      </c>
      <c r="F68" t="str">
        <f t="shared" si="45"/>
        <v/>
      </c>
      <c r="H68" s="1">
        <f t="shared" si="46"/>
        <v>0</v>
      </c>
      <c r="I68" s="1">
        <f t="shared" si="47"/>
        <v>1</v>
      </c>
      <c r="J68" s="1"/>
      <c r="K68" s="1">
        <f t="shared" si="48"/>
        <v>1900</v>
      </c>
      <c r="L68" s="32">
        <f t="shared" si="34"/>
        <v>19</v>
      </c>
      <c r="M68" s="32">
        <f t="shared" si="35"/>
        <v>9</v>
      </c>
      <c r="N68" s="32">
        <f t="shared" si="36"/>
        <v>119</v>
      </c>
      <c r="O68" s="1">
        <f t="shared" si="49"/>
        <v>119.80205479452054</v>
      </c>
      <c r="P68" s="1" t="str">
        <f t="shared" si="37"/>
        <v/>
      </c>
      <c r="Q68" s="1" t="str">
        <f t="shared" si="38"/>
        <v/>
      </c>
      <c r="R68" t="str">
        <f t="shared" si="50"/>
        <v/>
      </c>
      <c r="S68" s="1" t="str">
        <f t="shared" si="39"/>
        <v/>
      </c>
      <c r="U68" s="1" t="str">
        <f t="shared" si="40"/>
        <v/>
      </c>
      <c r="V68" s="1" t="str">
        <f t="shared" si="41"/>
        <v/>
      </c>
      <c r="W68" t="str">
        <f t="shared" si="51"/>
        <v/>
      </c>
      <c r="Y68" t="str">
        <f t="shared" si="52"/>
        <v/>
      </c>
      <c r="Z68" t="str">
        <f t="shared" si="53"/>
        <v/>
      </c>
      <c r="AC68" s="203" t="s">
        <v>46</v>
      </c>
      <c r="AF68" s="27"/>
      <c r="AQ68" s="1"/>
      <c r="AR68" s="1"/>
      <c r="AS68" s="1"/>
      <c r="AT68" s="1"/>
      <c r="BG68" s="1"/>
      <c r="BH68" s="1"/>
    </row>
    <row r="69" spans="1:60" hidden="1" x14ac:dyDescent="0.2">
      <c r="A69" s="256" t="str">
        <f t="shared" si="42"/>
        <v/>
      </c>
      <c r="B69" s="394"/>
      <c r="C69" t="str">
        <f t="shared" ref="C69:D69" si="63">TRIM(PROPER(C28))</f>
        <v/>
      </c>
      <c r="D69" t="str">
        <f t="shared" si="63"/>
        <v/>
      </c>
      <c r="E69" s="1">
        <f t="shared" si="44"/>
        <v>0</v>
      </c>
      <c r="F69" t="str">
        <f t="shared" si="45"/>
        <v/>
      </c>
      <c r="H69" s="1">
        <f t="shared" si="46"/>
        <v>0</v>
      </c>
      <c r="I69" s="1">
        <f t="shared" si="47"/>
        <v>1</v>
      </c>
      <c r="J69" s="1"/>
      <c r="K69" s="1">
        <f t="shared" si="48"/>
        <v>1900</v>
      </c>
      <c r="L69" s="32">
        <f t="shared" si="34"/>
        <v>19</v>
      </c>
      <c r="M69" s="32">
        <f t="shared" si="35"/>
        <v>9</v>
      </c>
      <c r="N69" s="32">
        <f t="shared" si="36"/>
        <v>119</v>
      </c>
      <c r="O69" s="1">
        <f t="shared" si="49"/>
        <v>119.80205479452054</v>
      </c>
      <c r="P69" s="1" t="str">
        <f t="shared" si="37"/>
        <v/>
      </c>
      <c r="Q69" s="1" t="str">
        <f t="shared" si="38"/>
        <v/>
      </c>
      <c r="R69" t="str">
        <f t="shared" si="50"/>
        <v/>
      </c>
      <c r="S69" s="1" t="str">
        <f t="shared" si="39"/>
        <v/>
      </c>
      <c r="U69" s="1" t="str">
        <f t="shared" si="40"/>
        <v/>
      </c>
      <c r="V69" s="1" t="str">
        <f t="shared" si="41"/>
        <v/>
      </c>
      <c r="W69" t="str">
        <f t="shared" si="51"/>
        <v/>
      </c>
      <c r="Y69" t="str">
        <f t="shared" si="52"/>
        <v/>
      </c>
      <c r="Z69" t="str">
        <f t="shared" si="53"/>
        <v/>
      </c>
      <c r="AC69" s="203" t="s">
        <v>47</v>
      </c>
      <c r="AF69" s="27"/>
      <c r="AQ69" s="1"/>
      <c r="AR69" s="1"/>
      <c r="AS69" s="1"/>
      <c r="AT69" s="1"/>
      <c r="BG69" s="1"/>
      <c r="BH69" s="1"/>
    </row>
    <row r="70" spans="1:60" hidden="1" x14ac:dyDescent="0.2">
      <c r="A70" s="256" t="str">
        <f t="shared" si="42"/>
        <v/>
      </c>
      <c r="B70" s="394"/>
      <c r="C70" t="str">
        <f t="shared" ref="C70:D70" si="64">TRIM(PROPER(C29))</f>
        <v/>
      </c>
      <c r="D70" t="str">
        <f t="shared" si="64"/>
        <v/>
      </c>
      <c r="E70" s="1">
        <f t="shared" si="44"/>
        <v>0</v>
      </c>
      <c r="F70" t="str">
        <f t="shared" si="45"/>
        <v/>
      </c>
      <c r="H70" s="1">
        <f t="shared" si="46"/>
        <v>0</v>
      </c>
      <c r="I70" s="1">
        <f t="shared" si="47"/>
        <v>1</v>
      </c>
      <c r="J70" s="1"/>
      <c r="K70" s="1">
        <f t="shared" si="48"/>
        <v>1900</v>
      </c>
      <c r="L70" s="32">
        <f t="shared" si="34"/>
        <v>19</v>
      </c>
      <c r="M70" s="32">
        <f t="shared" si="35"/>
        <v>9</v>
      </c>
      <c r="N70" s="32">
        <f t="shared" si="36"/>
        <v>119</v>
      </c>
      <c r="O70" s="1">
        <f t="shared" si="49"/>
        <v>119.80205479452054</v>
      </c>
      <c r="P70" s="1" t="str">
        <f>IF(C70&lt;&gt;"",INT(O70),"")</f>
        <v/>
      </c>
      <c r="Q70" s="1" t="str">
        <f>IF(AND($P70&gt;18,$M29="N"),"",IF(AND(COUNTBLANK($L29)=1,$P70&lt;14),1,""))</f>
        <v/>
      </c>
      <c r="R70" t="str">
        <f t="shared" si="50"/>
        <v/>
      </c>
      <c r="S70" s="1" t="str">
        <f t="shared" si="39"/>
        <v/>
      </c>
      <c r="U70" s="1" t="str">
        <f t="shared" si="40"/>
        <v/>
      </c>
      <c r="V70" s="1" t="str">
        <f>IF(AND($P70&gt;18,$M29="N"),"",IF(AND(COUNTBLANK($L29)=1,$C70&lt;&gt;"",$P70&gt;=25),1,""))</f>
        <v/>
      </c>
      <c r="W70" t="str">
        <f t="shared" si="51"/>
        <v/>
      </c>
      <c r="Y70" t="str">
        <f t="shared" si="52"/>
        <v/>
      </c>
      <c r="Z70" t="str">
        <f t="shared" si="53"/>
        <v/>
      </c>
      <c r="AC70" s="203" t="s">
        <v>48</v>
      </c>
      <c r="AF70" s="27"/>
      <c r="AQ70" s="1"/>
      <c r="AR70" s="1"/>
      <c r="AS70" s="1"/>
      <c r="AT70" s="1"/>
      <c r="BG70" s="1"/>
      <c r="BH70" s="1"/>
    </row>
    <row r="71" spans="1:60" hidden="1" x14ac:dyDescent="0.2">
      <c r="A71" s="256" t="str">
        <f t="shared" si="42"/>
        <v/>
      </c>
      <c r="B71" s="394"/>
      <c r="C71" t="str">
        <f t="shared" ref="C71:D71" si="65">TRIM(PROPER(C30))</f>
        <v/>
      </c>
      <c r="D71" t="str">
        <f t="shared" si="65"/>
        <v/>
      </c>
      <c r="E71" s="1">
        <f t="shared" si="44"/>
        <v>0</v>
      </c>
      <c r="F71" t="str">
        <f t="shared" si="45"/>
        <v/>
      </c>
      <c r="H71" s="1">
        <f t="shared" si="46"/>
        <v>0</v>
      </c>
      <c r="I71" s="1">
        <f t="shared" si="47"/>
        <v>1</v>
      </c>
      <c r="J71" s="1"/>
      <c r="K71" s="1">
        <f t="shared" si="48"/>
        <v>1900</v>
      </c>
      <c r="L71" s="32">
        <f t="shared" si="34"/>
        <v>19</v>
      </c>
      <c r="M71" s="32">
        <f t="shared" si="35"/>
        <v>9</v>
      </c>
      <c r="N71" s="32">
        <f t="shared" si="36"/>
        <v>119</v>
      </c>
      <c r="O71" s="1">
        <f t="shared" si="49"/>
        <v>119.80205479452054</v>
      </c>
      <c r="P71" s="1" t="str">
        <f t="shared" ref="P71:P84" si="66">IF(C71&lt;&gt;"",INT(O71),"")</f>
        <v/>
      </c>
      <c r="Q71" s="1" t="str">
        <f t="shared" si="38"/>
        <v/>
      </c>
      <c r="R71" t="str">
        <f t="shared" si="50"/>
        <v/>
      </c>
      <c r="S71" s="1" t="str">
        <f t="shared" si="39"/>
        <v/>
      </c>
      <c r="U71" s="1" t="str">
        <f t="shared" si="40"/>
        <v/>
      </c>
      <c r="V71" s="1" t="str">
        <f t="shared" ref="V71:V84" si="67">IF(AND($P71&gt;18,$M30="N"),"",IF(AND(COUNTBLANK($L30)=1,$C71&lt;&gt;"",$P71&gt;=25),1,""))</f>
        <v/>
      </c>
      <c r="W71" t="str">
        <f t="shared" si="51"/>
        <v/>
      </c>
      <c r="Y71" t="str">
        <f t="shared" si="52"/>
        <v/>
      </c>
      <c r="Z71" t="str">
        <f t="shared" si="53"/>
        <v/>
      </c>
      <c r="AC71" s="203" t="s">
        <v>49</v>
      </c>
      <c r="AF71" s="27"/>
      <c r="AQ71" s="1"/>
      <c r="AR71" s="1"/>
      <c r="AS71" s="1"/>
      <c r="AT71" s="1"/>
      <c r="BG71" s="1"/>
      <c r="BH71" s="1"/>
    </row>
    <row r="72" spans="1:60" hidden="1" x14ac:dyDescent="0.2">
      <c r="A72" s="256" t="str">
        <f t="shared" si="42"/>
        <v/>
      </c>
      <c r="B72" s="394"/>
      <c r="C72" t="str">
        <f t="shared" ref="C72:D72" si="68">TRIM(PROPER(C31))</f>
        <v/>
      </c>
      <c r="D72" t="str">
        <f t="shared" si="68"/>
        <v/>
      </c>
      <c r="E72" s="1">
        <f t="shared" si="44"/>
        <v>0</v>
      </c>
      <c r="F72" t="str">
        <f t="shared" si="45"/>
        <v/>
      </c>
      <c r="H72" s="1">
        <f t="shared" si="46"/>
        <v>0</v>
      </c>
      <c r="I72" s="1">
        <f t="shared" si="47"/>
        <v>1</v>
      </c>
      <c r="J72" s="1"/>
      <c r="K72" s="1">
        <f t="shared" si="48"/>
        <v>1900</v>
      </c>
      <c r="L72" s="32">
        <f t="shared" si="34"/>
        <v>19</v>
      </c>
      <c r="M72" s="32">
        <f t="shared" si="35"/>
        <v>9</v>
      </c>
      <c r="N72" s="32">
        <f t="shared" si="36"/>
        <v>119</v>
      </c>
      <c r="O72" s="1">
        <f t="shared" si="49"/>
        <v>119.80205479452054</v>
      </c>
      <c r="P72" s="1" t="str">
        <f t="shared" si="66"/>
        <v/>
      </c>
      <c r="Q72" s="1" t="str">
        <f t="shared" si="38"/>
        <v/>
      </c>
      <c r="R72" t="str">
        <f t="shared" si="50"/>
        <v/>
      </c>
      <c r="S72" s="1" t="str">
        <f t="shared" si="39"/>
        <v/>
      </c>
      <c r="U72" s="1" t="str">
        <f t="shared" si="40"/>
        <v/>
      </c>
      <c r="V72" s="1" t="str">
        <f t="shared" si="67"/>
        <v/>
      </c>
      <c r="W72" t="str">
        <f t="shared" si="51"/>
        <v/>
      </c>
      <c r="Y72" t="str">
        <f t="shared" si="52"/>
        <v/>
      </c>
      <c r="Z72" t="str">
        <f t="shared" si="53"/>
        <v/>
      </c>
      <c r="AC72" s="212" t="s">
        <v>25</v>
      </c>
      <c r="AF72" s="27"/>
      <c r="AQ72" s="1"/>
      <c r="AR72" s="1"/>
      <c r="AS72" s="1"/>
      <c r="AT72" s="1"/>
      <c r="BG72" s="1"/>
      <c r="BH72" s="1"/>
    </row>
    <row r="73" spans="1:60" hidden="1" x14ac:dyDescent="0.2">
      <c r="A73" s="256" t="str">
        <f t="shared" si="42"/>
        <v/>
      </c>
      <c r="B73" s="394"/>
      <c r="C73" t="str">
        <f t="shared" ref="C73:D73" si="69">TRIM(PROPER(C32))</f>
        <v/>
      </c>
      <c r="D73" t="str">
        <f t="shared" si="69"/>
        <v/>
      </c>
      <c r="E73" s="1">
        <f t="shared" si="44"/>
        <v>0</v>
      </c>
      <c r="F73" t="str">
        <f t="shared" si="45"/>
        <v/>
      </c>
      <c r="H73" s="1">
        <f t="shared" si="46"/>
        <v>0</v>
      </c>
      <c r="I73" s="1">
        <f t="shared" si="47"/>
        <v>1</v>
      </c>
      <c r="J73" s="1"/>
      <c r="K73" s="1">
        <f t="shared" si="48"/>
        <v>1900</v>
      </c>
      <c r="L73" s="32">
        <f t="shared" si="34"/>
        <v>19</v>
      </c>
      <c r="M73" s="32">
        <f t="shared" si="35"/>
        <v>9</v>
      </c>
      <c r="N73" s="32">
        <f t="shared" si="36"/>
        <v>119</v>
      </c>
      <c r="O73" s="1">
        <f t="shared" si="49"/>
        <v>119.80205479452054</v>
      </c>
      <c r="P73" s="1" t="str">
        <f t="shared" si="66"/>
        <v/>
      </c>
      <c r="Q73" s="1" t="str">
        <f t="shared" si="38"/>
        <v/>
      </c>
      <c r="R73" t="str">
        <f t="shared" si="50"/>
        <v/>
      </c>
      <c r="S73" s="1" t="str">
        <f t="shared" si="39"/>
        <v/>
      </c>
      <c r="U73" s="1" t="str">
        <f t="shared" si="40"/>
        <v/>
      </c>
      <c r="V73" s="1" t="str">
        <f t="shared" si="67"/>
        <v/>
      </c>
      <c r="W73" t="str">
        <f t="shared" si="51"/>
        <v/>
      </c>
      <c r="Y73" t="str">
        <f t="shared" si="52"/>
        <v/>
      </c>
      <c r="Z73" t="str">
        <f t="shared" si="53"/>
        <v/>
      </c>
      <c r="AC73" s="212" t="s">
        <v>28</v>
      </c>
      <c r="AF73" s="27"/>
      <c r="AQ73" s="1"/>
      <c r="AR73" s="1"/>
      <c r="AS73" s="1"/>
      <c r="AT73" s="1"/>
      <c r="BG73" s="1"/>
      <c r="BH73" s="1"/>
    </row>
    <row r="74" spans="1:60" hidden="1" x14ac:dyDescent="0.2">
      <c r="A74" s="256" t="str">
        <f t="shared" si="42"/>
        <v/>
      </c>
      <c r="B74" s="394"/>
      <c r="C74" t="str">
        <f t="shared" ref="C74:D74" si="70">TRIM(PROPER(C33))</f>
        <v/>
      </c>
      <c r="D74" t="str">
        <f t="shared" si="70"/>
        <v/>
      </c>
      <c r="E74" s="1">
        <f t="shared" si="44"/>
        <v>0</v>
      </c>
      <c r="F74" t="str">
        <f t="shared" si="45"/>
        <v/>
      </c>
      <c r="H74" s="1">
        <f t="shared" si="46"/>
        <v>0</v>
      </c>
      <c r="I74" s="1">
        <f t="shared" si="47"/>
        <v>1</v>
      </c>
      <c r="J74" s="1"/>
      <c r="K74" s="1">
        <f t="shared" si="48"/>
        <v>1900</v>
      </c>
      <c r="L74" s="32">
        <f t="shared" si="34"/>
        <v>19</v>
      </c>
      <c r="M74" s="32">
        <f t="shared" si="35"/>
        <v>9</v>
      </c>
      <c r="N74" s="32">
        <f t="shared" si="36"/>
        <v>119</v>
      </c>
      <c r="O74" s="1">
        <f t="shared" si="49"/>
        <v>119.80205479452054</v>
      </c>
      <c r="P74" s="1" t="str">
        <f t="shared" si="66"/>
        <v/>
      </c>
      <c r="Q74" s="1" t="str">
        <f t="shared" si="38"/>
        <v/>
      </c>
      <c r="R74" t="str">
        <f t="shared" si="50"/>
        <v/>
      </c>
      <c r="S74" s="1" t="str">
        <f t="shared" si="39"/>
        <v/>
      </c>
      <c r="U74" s="1" t="str">
        <f t="shared" si="40"/>
        <v/>
      </c>
      <c r="V74" s="1" t="str">
        <f t="shared" si="67"/>
        <v/>
      </c>
      <c r="W74" t="str">
        <f t="shared" si="51"/>
        <v/>
      </c>
      <c r="Y74" t="str">
        <f t="shared" si="52"/>
        <v/>
      </c>
      <c r="Z74" t="str">
        <f t="shared" si="53"/>
        <v/>
      </c>
      <c r="AF74" s="27"/>
      <c r="AQ74" s="1"/>
      <c r="AR74" s="1"/>
      <c r="AS74" s="1"/>
      <c r="AT74" s="1"/>
      <c r="BG74" s="1"/>
      <c r="BH74" s="1"/>
    </row>
    <row r="75" spans="1:60" hidden="1" x14ac:dyDescent="0.2">
      <c r="A75" s="256" t="str">
        <f t="shared" si="42"/>
        <v/>
      </c>
      <c r="B75" s="394"/>
      <c r="C75" t="str">
        <f t="shared" ref="C75:D75" si="71">TRIM(PROPER(C34))</f>
        <v/>
      </c>
      <c r="D75" t="str">
        <f t="shared" si="71"/>
        <v/>
      </c>
      <c r="E75" s="1">
        <f t="shared" si="44"/>
        <v>0</v>
      </c>
      <c r="F75" t="str">
        <f t="shared" si="45"/>
        <v/>
      </c>
      <c r="H75" s="1">
        <f t="shared" si="46"/>
        <v>0</v>
      </c>
      <c r="I75" s="1">
        <f t="shared" si="47"/>
        <v>1</v>
      </c>
      <c r="J75" s="1"/>
      <c r="K75" s="1">
        <f t="shared" si="48"/>
        <v>1900</v>
      </c>
      <c r="L75" s="32">
        <f t="shared" si="34"/>
        <v>19</v>
      </c>
      <c r="M75" s="32">
        <f t="shared" si="35"/>
        <v>9</v>
      </c>
      <c r="N75" s="32">
        <f t="shared" si="36"/>
        <v>119</v>
      </c>
      <c r="O75" s="1">
        <f t="shared" si="49"/>
        <v>119.80205479452054</v>
      </c>
      <c r="P75" s="1" t="str">
        <f t="shared" si="66"/>
        <v/>
      </c>
      <c r="Q75" s="1" t="str">
        <f t="shared" si="38"/>
        <v/>
      </c>
      <c r="R75" t="str">
        <f t="shared" si="50"/>
        <v/>
      </c>
      <c r="S75" s="1" t="str">
        <f t="shared" si="39"/>
        <v/>
      </c>
      <c r="U75" s="1" t="str">
        <f t="shared" si="40"/>
        <v/>
      </c>
      <c r="V75" s="1" t="str">
        <f t="shared" si="67"/>
        <v/>
      </c>
      <c r="W75" t="str">
        <f t="shared" si="51"/>
        <v/>
      </c>
      <c r="Y75" t="str">
        <f t="shared" si="52"/>
        <v/>
      </c>
      <c r="Z75" t="str">
        <f t="shared" si="53"/>
        <v/>
      </c>
      <c r="AF75" s="27"/>
      <c r="AQ75" s="1"/>
      <c r="AR75" s="1"/>
      <c r="AS75" s="1"/>
      <c r="AT75" s="1"/>
      <c r="BG75" s="1"/>
      <c r="BH75" s="1"/>
    </row>
    <row r="76" spans="1:60" hidden="1" x14ac:dyDescent="0.2">
      <c r="A76" s="256" t="str">
        <f t="shared" si="42"/>
        <v/>
      </c>
      <c r="B76" s="394"/>
      <c r="C76" t="str">
        <f t="shared" ref="C76:D76" si="72">TRIM(PROPER(C35))</f>
        <v/>
      </c>
      <c r="D76" t="str">
        <f t="shared" si="72"/>
        <v/>
      </c>
      <c r="E76" s="1">
        <f t="shared" si="44"/>
        <v>0</v>
      </c>
      <c r="F76" t="str">
        <f t="shared" si="45"/>
        <v/>
      </c>
      <c r="H76" s="1">
        <f t="shared" si="46"/>
        <v>0</v>
      </c>
      <c r="I76" s="1">
        <f t="shared" si="47"/>
        <v>1</v>
      </c>
      <c r="J76" s="1"/>
      <c r="K76" s="1">
        <f t="shared" si="48"/>
        <v>1900</v>
      </c>
      <c r="L76" s="32">
        <f t="shared" si="34"/>
        <v>19</v>
      </c>
      <c r="M76" s="32">
        <f t="shared" si="35"/>
        <v>9</v>
      </c>
      <c r="N76" s="32">
        <f t="shared" si="36"/>
        <v>119</v>
      </c>
      <c r="O76" s="1">
        <f t="shared" si="49"/>
        <v>119.80205479452054</v>
      </c>
      <c r="P76" s="1" t="str">
        <f t="shared" si="66"/>
        <v/>
      </c>
      <c r="Q76" s="1" t="str">
        <f t="shared" si="38"/>
        <v/>
      </c>
      <c r="R76" t="str">
        <f t="shared" si="50"/>
        <v/>
      </c>
      <c r="S76" s="1" t="str">
        <f t="shared" si="39"/>
        <v/>
      </c>
      <c r="U76" s="1" t="str">
        <f t="shared" si="40"/>
        <v/>
      </c>
      <c r="V76" s="1" t="str">
        <f t="shared" si="67"/>
        <v/>
      </c>
      <c r="W76" t="str">
        <f t="shared" si="51"/>
        <v/>
      </c>
      <c r="Y76" t="str">
        <f t="shared" si="52"/>
        <v/>
      </c>
      <c r="Z76" t="str">
        <f t="shared" si="53"/>
        <v/>
      </c>
      <c r="AF76" s="27"/>
      <c r="AQ76" s="1"/>
      <c r="AR76" s="1"/>
      <c r="AS76" s="1"/>
      <c r="AT76" s="1"/>
      <c r="BG76" s="1"/>
      <c r="BH76" s="1"/>
    </row>
    <row r="77" spans="1:60" hidden="1" x14ac:dyDescent="0.2">
      <c r="A77" s="256" t="str">
        <f t="shared" si="42"/>
        <v/>
      </c>
      <c r="B77" s="394"/>
      <c r="C77" t="str">
        <f t="shared" ref="C77:D77" si="73">TRIM(PROPER(C36))</f>
        <v/>
      </c>
      <c r="D77" t="str">
        <f t="shared" si="73"/>
        <v/>
      </c>
      <c r="E77" s="1">
        <f t="shared" si="44"/>
        <v>0</v>
      </c>
      <c r="F77" t="str">
        <f t="shared" si="45"/>
        <v/>
      </c>
      <c r="H77" s="1">
        <f t="shared" si="46"/>
        <v>0</v>
      </c>
      <c r="I77" s="1">
        <f t="shared" si="47"/>
        <v>1</v>
      </c>
      <c r="J77" s="1"/>
      <c r="K77" s="1">
        <f t="shared" si="48"/>
        <v>1900</v>
      </c>
      <c r="L77" s="32">
        <f t="shared" si="34"/>
        <v>19</v>
      </c>
      <c r="M77" s="32">
        <f t="shared" si="35"/>
        <v>9</v>
      </c>
      <c r="N77" s="32">
        <f t="shared" si="36"/>
        <v>119</v>
      </c>
      <c r="O77" s="1">
        <f t="shared" si="49"/>
        <v>119.80205479452054</v>
      </c>
      <c r="P77" s="1" t="str">
        <f t="shared" si="66"/>
        <v/>
      </c>
      <c r="Q77" s="1" t="str">
        <f t="shared" si="38"/>
        <v/>
      </c>
      <c r="R77" t="str">
        <f t="shared" si="50"/>
        <v/>
      </c>
      <c r="S77" s="1" t="str">
        <f t="shared" si="39"/>
        <v/>
      </c>
      <c r="U77" s="1" t="str">
        <f t="shared" si="40"/>
        <v/>
      </c>
      <c r="V77" s="1" t="str">
        <f t="shared" si="67"/>
        <v/>
      </c>
      <c r="W77" t="str">
        <f t="shared" si="51"/>
        <v/>
      </c>
      <c r="Y77" t="str">
        <f t="shared" si="52"/>
        <v/>
      </c>
      <c r="Z77" t="str">
        <f t="shared" si="53"/>
        <v/>
      </c>
      <c r="AF77" s="27"/>
      <c r="AQ77" s="1"/>
      <c r="AR77" s="1"/>
      <c r="AS77" s="1"/>
      <c r="AT77" s="1"/>
      <c r="BG77" s="1"/>
      <c r="BH77" s="1"/>
    </row>
    <row r="78" spans="1:60" hidden="1" x14ac:dyDescent="0.2">
      <c r="A78" s="256" t="str">
        <f t="shared" si="42"/>
        <v/>
      </c>
      <c r="B78" s="394"/>
      <c r="C78" t="str">
        <f t="shared" ref="C78:D78" si="74">TRIM(PROPER(C37))</f>
        <v/>
      </c>
      <c r="D78" t="str">
        <f t="shared" si="74"/>
        <v/>
      </c>
      <c r="E78" s="1">
        <f t="shared" si="44"/>
        <v>0</v>
      </c>
      <c r="F78" t="str">
        <f t="shared" si="45"/>
        <v/>
      </c>
      <c r="H78" s="1">
        <f t="shared" si="46"/>
        <v>0</v>
      </c>
      <c r="I78" s="1">
        <f t="shared" si="47"/>
        <v>1</v>
      </c>
      <c r="J78" s="1"/>
      <c r="K78" s="1">
        <f t="shared" si="48"/>
        <v>1900</v>
      </c>
      <c r="L78" s="32">
        <f t="shared" si="34"/>
        <v>19</v>
      </c>
      <c r="M78" s="32">
        <f t="shared" si="35"/>
        <v>9</v>
      </c>
      <c r="N78" s="32">
        <f t="shared" si="36"/>
        <v>119</v>
      </c>
      <c r="O78" s="1">
        <f t="shared" si="49"/>
        <v>119.80205479452054</v>
      </c>
      <c r="P78" s="1" t="str">
        <f t="shared" si="66"/>
        <v/>
      </c>
      <c r="Q78" s="1" t="str">
        <f t="shared" si="38"/>
        <v/>
      </c>
      <c r="R78" t="str">
        <f t="shared" si="50"/>
        <v/>
      </c>
      <c r="S78" s="1" t="str">
        <f t="shared" si="39"/>
        <v/>
      </c>
      <c r="U78" s="1" t="str">
        <f t="shared" si="40"/>
        <v/>
      </c>
      <c r="V78" s="1" t="str">
        <f t="shared" si="67"/>
        <v/>
      </c>
      <c r="W78" t="str">
        <f t="shared" si="51"/>
        <v/>
      </c>
      <c r="Y78" t="str">
        <f t="shared" si="52"/>
        <v/>
      </c>
      <c r="Z78" t="str">
        <f t="shared" si="53"/>
        <v/>
      </c>
      <c r="AF78" s="27"/>
      <c r="AQ78" s="1"/>
      <c r="AR78" s="1"/>
      <c r="AS78" s="1"/>
      <c r="AT78" s="1"/>
      <c r="BG78" s="1"/>
      <c r="BH78" s="1"/>
    </row>
    <row r="79" spans="1:60" hidden="1" x14ac:dyDescent="0.2">
      <c r="A79" s="256" t="str">
        <f t="shared" si="42"/>
        <v/>
      </c>
      <c r="B79" s="394"/>
      <c r="C79" t="str">
        <f t="shared" ref="C79:D79" si="75">TRIM(PROPER(C38))</f>
        <v/>
      </c>
      <c r="D79" t="str">
        <f t="shared" si="75"/>
        <v/>
      </c>
      <c r="E79" s="1">
        <f t="shared" si="44"/>
        <v>0</v>
      </c>
      <c r="F79" t="str">
        <f t="shared" si="45"/>
        <v/>
      </c>
      <c r="H79" s="1">
        <f t="shared" si="46"/>
        <v>0</v>
      </c>
      <c r="I79" s="1">
        <f t="shared" si="47"/>
        <v>1</v>
      </c>
      <c r="J79" s="1"/>
      <c r="K79" s="1">
        <f t="shared" si="48"/>
        <v>1900</v>
      </c>
      <c r="L79" s="32">
        <f t="shared" si="34"/>
        <v>19</v>
      </c>
      <c r="M79" s="32">
        <f t="shared" si="35"/>
        <v>9</v>
      </c>
      <c r="N79" s="32">
        <f t="shared" si="36"/>
        <v>119</v>
      </c>
      <c r="O79" s="1">
        <f t="shared" si="49"/>
        <v>119.80205479452054</v>
      </c>
      <c r="P79" s="1" t="str">
        <f t="shared" si="66"/>
        <v/>
      </c>
      <c r="Q79" s="1" t="str">
        <f t="shared" si="38"/>
        <v/>
      </c>
      <c r="R79" t="str">
        <f t="shared" si="50"/>
        <v/>
      </c>
      <c r="S79" s="1" t="str">
        <f t="shared" si="39"/>
        <v/>
      </c>
      <c r="U79" s="1" t="str">
        <f t="shared" si="40"/>
        <v/>
      </c>
      <c r="V79" s="1" t="str">
        <f t="shared" si="67"/>
        <v/>
      </c>
      <c r="W79" t="str">
        <f t="shared" si="51"/>
        <v/>
      </c>
      <c r="Y79" t="str">
        <f t="shared" si="52"/>
        <v/>
      </c>
      <c r="Z79" t="str">
        <f t="shared" si="53"/>
        <v/>
      </c>
      <c r="AF79" s="27"/>
      <c r="AQ79" s="1"/>
      <c r="AR79" s="1"/>
      <c r="AS79" s="1"/>
      <c r="AT79" s="1"/>
      <c r="BG79" s="1"/>
      <c r="BH79" s="1"/>
    </row>
    <row r="80" spans="1:60" hidden="1" x14ac:dyDescent="0.2">
      <c r="A80" s="256" t="str">
        <f t="shared" si="42"/>
        <v/>
      </c>
      <c r="B80" s="394"/>
      <c r="C80" t="str">
        <f t="shared" ref="C80:D80" si="76">TRIM(PROPER(C39))</f>
        <v/>
      </c>
      <c r="D80" t="str">
        <f t="shared" si="76"/>
        <v/>
      </c>
      <c r="E80" s="1">
        <f t="shared" si="44"/>
        <v>0</v>
      </c>
      <c r="F80" t="str">
        <f t="shared" si="45"/>
        <v/>
      </c>
      <c r="H80" s="1">
        <f t="shared" si="46"/>
        <v>0</v>
      </c>
      <c r="I80" s="1">
        <f t="shared" si="47"/>
        <v>1</v>
      </c>
      <c r="J80" s="1"/>
      <c r="K80" s="1">
        <f t="shared" si="48"/>
        <v>1900</v>
      </c>
      <c r="L80" s="32">
        <f t="shared" si="34"/>
        <v>19</v>
      </c>
      <c r="M80" s="32">
        <f t="shared" si="35"/>
        <v>9</v>
      </c>
      <c r="N80" s="32">
        <f t="shared" si="36"/>
        <v>119</v>
      </c>
      <c r="O80" s="1">
        <f t="shared" si="49"/>
        <v>119.80205479452054</v>
      </c>
      <c r="P80" s="1" t="str">
        <f t="shared" si="66"/>
        <v/>
      </c>
      <c r="Q80" s="1" t="str">
        <f t="shared" si="38"/>
        <v/>
      </c>
      <c r="R80" t="str">
        <f t="shared" si="50"/>
        <v/>
      </c>
      <c r="S80" s="1" t="str">
        <f t="shared" si="39"/>
        <v/>
      </c>
      <c r="U80" s="1" t="str">
        <f t="shared" si="40"/>
        <v/>
      </c>
      <c r="V80" s="1" t="str">
        <f t="shared" si="67"/>
        <v/>
      </c>
      <c r="W80" t="str">
        <f t="shared" si="51"/>
        <v/>
      </c>
      <c r="Y80" t="str">
        <f t="shared" si="52"/>
        <v/>
      </c>
      <c r="Z80" t="str">
        <f t="shared" si="53"/>
        <v/>
      </c>
      <c r="AF80" s="27"/>
      <c r="AQ80" s="1"/>
      <c r="AR80" s="1"/>
      <c r="AS80" s="1"/>
      <c r="AT80" s="1"/>
      <c r="BG80" s="1"/>
      <c r="BH80" s="1"/>
    </row>
    <row r="81" spans="1:64" hidden="1" x14ac:dyDescent="0.2">
      <c r="A81" s="256" t="str">
        <f t="shared" si="42"/>
        <v/>
      </c>
      <c r="B81" s="394"/>
      <c r="C81" t="str">
        <f t="shared" ref="C81:D81" si="77">TRIM(PROPER(C40))</f>
        <v/>
      </c>
      <c r="D81" t="str">
        <f t="shared" si="77"/>
        <v/>
      </c>
      <c r="E81" s="1">
        <f t="shared" si="44"/>
        <v>0</v>
      </c>
      <c r="F81" t="str">
        <f t="shared" si="45"/>
        <v/>
      </c>
      <c r="H81" s="1">
        <f t="shared" si="46"/>
        <v>0</v>
      </c>
      <c r="I81" s="1">
        <f t="shared" si="47"/>
        <v>1</v>
      </c>
      <c r="J81" s="1"/>
      <c r="K81" s="1">
        <f t="shared" si="48"/>
        <v>1900</v>
      </c>
      <c r="L81" s="32">
        <f t="shared" si="34"/>
        <v>19</v>
      </c>
      <c r="M81" s="32">
        <f t="shared" si="35"/>
        <v>9</v>
      </c>
      <c r="N81" s="32">
        <f t="shared" si="36"/>
        <v>119</v>
      </c>
      <c r="O81" s="1">
        <f t="shared" si="49"/>
        <v>119.80205479452054</v>
      </c>
      <c r="P81" s="1" t="str">
        <f t="shared" si="66"/>
        <v/>
      </c>
      <c r="Q81" s="1" t="str">
        <f t="shared" si="38"/>
        <v/>
      </c>
      <c r="R81" t="str">
        <f t="shared" si="50"/>
        <v/>
      </c>
      <c r="S81" s="1" t="str">
        <f t="shared" si="39"/>
        <v/>
      </c>
      <c r="U81" s="1" t="str">
        <f t="shared" si="40"/>
        <v/>
      </c>
      <c r="V81" s="1" t="str">
        <f t="shared" si="67"/>
        <v/>
      </c>
      <c r="W81" t="str">
        <f t="shared" si="51"/>
        <v/>
      </c>
      <c r="Y81" t="str">
        <f t="shared" si="52"/>
        <v/>
      </c>
      <c r="Z81" t="str">
        <f t="shared" si="53"/>
        <v/>
      </c>
      <c r="AF81" s="27"/>
      <c r="AQ81" s="1"/>
      <c r="AR81" s="1"/>
      <c r="AS81" s="1"/>
      <c r="AT81" s="1"/>
      <c r="BG81" s="1"/>
      <c r="BH81" s="1"/>
    </row>
    <row r="82" spans="1:64" hidden="1" x14ac:dyDescent="0.2">
      <c r="A82" s="256" t="str">
        <f t="shared" si="42"/>
        <v/>
      </c>
      <c r="B82" s="394"/>
      <c r="C82" t="str">
        <f t="shared" ref="C82:D82" si="78">TRIM(PROPER(C41))</f>
        <v/>
      </c>
      <c r="D82" t="str">
        <f t="shared" si="78"/>
        <v/>
      </c>
      <c r="E82" s="1">
        <f t="shared" si="44"/>
        <v>0</v>
      </c>
      <c r="F82" t="str">
        <f t="shared" si="45"/>
        <v/>
      </c>
      <c r="H82" s="1">
        <f t="shared" si="46"/>
        <v>0</v>
      </c>
      <c r="I82" s="1">
        <f t="shared" si="47"/>
        <v>1</v>
      </c>
      <c r="J82" s="1"/>
      <c r="K82" s="1">
        <f t="shared" si="48"/>
        <v>1900</v>
      </c>
      <c r="L82" s="32">
        <f t="shared" si="34"/>
        <v>19</v>
      </c>
      <c r="M82" s="32">
        <f t="shared" si="35"/>
        <v>9</v>
      </c>
      <c r="N82" s="32">
        <f t="shared" si="36"/>
        <v>119</v>
      </c>
      <c r="O82" s="1">
        <f t="shared" si="49"/>
        <v>119.80205479452054</v>
      </c>
      <c r="P82" s="1" t="str">
        <f t="shared" si="66"/>
        <v/>
      </c>
      <c r="Q82" s="1" t="str">
        <f t="shared" si="38"/>
        <v/>
      </c>
      <c r="R82" t="str">
        <f t="shared" si="50"/>
        <v/>
      </c>
      <c r="S82" s="1" t="str">
        <f t="shared" si="39"/>
        <v/>
      </c>
      <c r="U82" s="1" t="str">
        <f t="shared" si="40"/>
        <v/>
      </c>
      <c r="V82" s="1" t="str">
        <f t="shared" si="67"/>
        <v/>
      </c>
      <c r="W82" t="str">
        <f t="shared" si="51"/>
        <v/>
      </c>
      <c r="AF82" s="27"/>
      <c r="AQ82" s="1"/>
      <c r="AR82" s="1"/>
      <c r="AS82" s="1"/>
      <c r="AT82" s="1"/>
      <c r="BG82" s="1"/>
      <c r="BH82" s="1"/>
    </row>
    <row r="83" spans="1:64" hidden="1" x14ac:dyDescent="0.2">
      <c r="A83" s="256" t="str">
        <f t="shared" si="42"/>
        <v/>
      </c>
      <c r="B83" s="394"/>
      <c r="C83" t="str">
        <f t="shared" ref="C83:D83" si="79">TRIM(PROPER(C42))</f>
        <v/>
      </c>
      <c r="D83" t="str">
        <f t="shared" si="79"/>
        <v/>
      </c>
      <c r="E83" s="1">
        <f t="shared" si="44"/>
        <v>0</v>
      </c>
      <c r="F83" t="str">
        <f t="shared" si="45"/>
        <v/>
      </c>
      <c r="H83" s="1">
        <f t="shared" si="46"/>
        <v>0</v>
      </c>
      <c r="I83" s="1">
        <f t="shared" si="47"/>
        <v>1</v>
      </c>
      <c r="J83" s="1"/>
      <c r="K83" s="1">
        <f t="shared" si="48"/>
        <v>1900</v>
      </c>
      <c r="L83" s="32">
        <f t="shared" si="34"/>
        <v>19</v>
      </c>
      <c r="M83" s="32">
        <f t="shared" si="35"/>
        <v>9</v>
      </c>
      <c r="N83" s="32">
        <f t="shared" si="36"/>
        <v>119</v>
      </c>
      <c r="O83" s="1">
        <f t="shared" si="49"/>
        <v>119.80205479452054</v>
      </c>
      <c r="P83" s="1" t="str">
        <f t="shared" si="66"/>
        <v/>
      </c>
      <c r="Q83" s="1" t="str">
        <f t="shared" si="38"/>
        <v/>
      </c>
      <c r="R83" t="str">
        <f t="shared" si="50"/>
        <v/>
      </c>
      <c r="S83" s="1" t="str">
        <f t="shared" si="39"/>
        <v/>
      </c>
      <c r="U83" s="1" t="str">
        <f t="shared" si="40"/>
        <v/>
      </c>
      <c r="V83" s="1" t="str">
        <f t="shared" si="67"/>
        <v/>
      </c>
      <c r="W83" t="str">
        <f t="shared" si="51"/>
        <v/>
      </c>
      <c r="AF83" s="27"/>
      <c r="AQ83" s="1"/>
      <c r="AR83" s="1"/>
      <c r="AS83" s="1"/>
      <c r="AT83" s="1"/>
      <c r="BG83" s="1"/>
      <c r="BH83" s="1"/>
    </row>
    <row r="84" spans="1:64" ht="13.5" hidden="1" thickBot="1" x14ac:dyDescent="0.25">
      <c r="A84" s="256" t="str">
        <f t="shared" si="42"/>
        <v/>
      </c>
      <c r="B84" s="394"/>
      <c r="C84" t="str">
        <f t="shared" ref="C84:D84" si="80">TRIM(PROPER(C43))</f>
        <v/>
      </c>
      <c r="D84" t="str">
        <f t="shared" si="80"/>
        <v/>
      </c>
      <c r="E84" s="1">
        <f t="shared" si="44"/>
        <v>0</v>
      </c>
      <c r="F84" t="str">
        <f t="shared" si="45"/>
        <v/>
      </c>
      <c r="H84" s="1">
        <f t="shared" si="46"/>
        <v>0</v>
      </c>
      <c r="I84" s="1">
        <f t="shared" si="47"/>
        <v>1</v>
      </c>
      <c r="J84" s="1"/>
      <c r="K84" s="1">
        <f t="shared" si="48"/>
        <v>1900</v>
      </c>
      <c r="L84" s="32">
        <f t="shared" si="34"/>
        <v>19</v>
      </c>
      <c r="M84" s="32">
        <f t="shared" si="35"/>
        <v>9</v>
      </c>
      <c r="N84" s="32">
        <f t="shared" si="36"/>
        <v>119</v>
      </c>
      <c r="O84" s="1">
        <f t="shared" si="49"/>
        <v>119.80205479452054</v>
      </c>
      <c r="P84" s="1" t="str">
        <f t="shared" si="66"/>
        <v/>
      </c>
      <c r="Q84" s="1" t="str">
        <f t="shared" si="38"/>
        <v/>
      </c>
      <c r="R84" t="str">
        <f t="shared" si="50"/>
        <v/>
      </c>
      <c r="S84" s="1" t="str">
        <f t="shared" si="39"/>
        <v/>
      </c>
      <c r="U84" s="1" t="str">
        <f t="shared" si="40"/>
        <v/>
      </c>
      <c r="V84" s="1" t="str">
        <f t="shared" si="67"/>
        <v/>
      </c>
      <c r="W84" t="str">
        <f t="shared" si="51"/>
        <v/>
      </c>
      <c r="AF84" s="27"/>
      <c r="AQ84" s="1"/>
      <c r="AR84" s="1"/>
      <c r="AS84" s="1"/>
      <c r="AT84" s="1"/>
      <c r="BG84" s="1"/>
      <c r="BH84" s="1"/>
    </row>
    <row r="85" spans="1:64" ht="24.75" hidden="1" thickBot="1" x14ac:dyDescent="0.25">
      <c r="A85" s="252"/>
      <c r="I85" s="499" t="s">
        <v>131</v>
      </c>
      <c r="J85" s="500"/>
      <c r="K85" s="501"/>
      <c r="L85" s="501"/>
      <c r="M85" s="501"/>
      <c r="N85" s="501"/>
      <c r="O85" s="501"/>
      <c r="P85" s="501"/>
      <c r="Q85" s="111">
        <f>SUM(Q58:Q82)</f>
        <v>0</v>
      </c>
      <c r="R85" s="112">
        <f>SUM(R58:R82)</f>
        <v>0</v>
      </c>
      <c r="S85" s="98">
        <f>SUM(S58:S82)</f>
        <v>0</v>
      </c>
      <c r="T85" s="112">
        <f>U85+V85</f>
        <v>0</v>
      </c>
      <c r="U85" s="98">
        <f>SUM(U58:U82)</f>
        <v>0</v>
      </c>
      <c r="V85" s="99">
        <f>SUM(V58:V82)</f>
        <v>0</v>
      </c>
      <c r="W85" s="113">
        <f>SUM(Q85,S85,U85:V85)</f>
        <v>0</v>
      </c>
      <c r="X85" s="115"/>
      <c r="Y85" s="407" t="s">
        <v>343</v>
      </c>
      <c r="Z85" s="407" t="s">
        <v>372</v>
      </c>
      <c r="AF85" s="27"/>
      <c r="AQ85" s="1"/>
      <c r="AR85" s="1"/>
      <c r="AS85" s="1"/>
      <c r="AT85" s="1"/>
      <c r="BG85" s="1"/>
      <c r="BH85" s="1"/>
    </row>
    <row r="86" spans="1:64" hidden="1" x14ac:dyDescent="0.2">
      <c r="A86" s="252"/>
      <c r="AF86" s="27"/>
      <c r="AQ86" s="1"/>
      <c r="AR86" s="1"/>
      <c r="AS86" s="1"/>
      <c r="AT86" s="1"/>
      <c r="BG86" s="1"/>
      <c r="BH86" s="1"/>
    </row>
    <row r="87" spans="1:64" s="407" customFormat="1" ht="48" hidden="1" x14ac:dyDescent="0.2">
      <c r="A87" s="405"/>
      <c r="B87" s="406"/>
      <c r="C87" s="407" t="s">
        <v>21</v>
      </c>
      <c r="D87" s="407" t="s">
        <v>22</v>
      </c>
      <c r="E87" s="411" t="s">
        <v>2</v>
      </c>
      <c r="F87" s="407" t="s">
        <v>3</v>
      </c>
      <c r="H87" s="407" t="s">
        <v>332</v>
      </c>
      <c r="I87" s="407" t="s">
        <v>333</v>
      </c>
      <c r="J87" s="407" t="s">
        <v>336</v>
      </c>
      <c r="K87" s="407" t="s">
        <v>334</v>
      </c>
      <c r="L87" s="407" t="s">
        <v>335</v>
      </c>
      <c r="M87" s="407" t="s">
        <v>338</v>
      </c>
      <c r="N87" s="407" t="s">
        <v>213</v>
      </c>
      <c r="O87" s="407" t="s">
        <v>11</v>
      </c>
      <c r="P87" s="407" t="s">
        <v>337</v>
      </c>
      <c r="Q87" s="407" t="s">
        <v>23</v>
      </c>
      <c r="R87" s="407" t="s">
        <v>24</v>
      </c>
      <c r="S87" s="407" t="s">
        <v>15</v>
      </c>
      <c r="T87" s="407" t="s">
        <v>340</v>
      </c>
      <c r="U87" s="407" t="s">
        <v>341</v>
      </c>
      <c r="V87" s="407" t="s">
        <v>342</v>
      </c>
      <c r="W87" s="407" t="s">
        <v>370</v>
      </c>
      <c r="X87" s="407" t="s">
        <v>371</v>
      </c>
      <c r="Y87" s="407" t="s">
        <v>373</v>
      </c>
      <c r="Z87" s="407" t="s">
        <v>372</v>
      </c>
      <c r="AA87" s="407" t="s">
        <v>343</v>
      </c>
      <c r="AB87" s="407" t="s">
        <v>261</v>
      </c>
      <c r="AC87" s="407" t="s">
        <v>260</v>
      </c>
      <c r="AE87" s="408"/>
      <c r="AN87" s="409"/>
      <c r="AO87" s="409"/>
      <c r="AP87" s="409"/>
      <c r="AQ87" s="409"/>
      <c r="BD87" s="409"/>
      <c r="BE87" s="409"/>
      <c r="BK87"/>
      <c r="BL87"/>
    </row>
    <row r="88" spans="1:64" ht="13.5" hidden="1" x14ac:dyDescent="0.25">
      <c r="A88" s="252"/>
      <c r="C88" t="str">
        <f>C58</f>
        <v/>
      </c>
      <c r="D88" t="str">
        <f>D58</f>
        <v/>
      </c>
      <c r="E88" s="410" t="str">
        <f>IF(COUNTBLANK($C17:$D17)=0,E17,"")</f>
        <v/>
      </c>
      <c r="F88" s="410" t="str">
        <f>IF(COUNTBLANK(F17)=0,F17,"")</f>
        <v/>
      </c>
      <c r="G88" s="410"/>
      <c r="H88" s="414" t="str">
        <f t="shared" ref="H88:M88" si="81">IF(COUNTBLANK(H17)=0,H17,"")</f>
        <v/>
      </c>
      <c r="I88" s="410" t="str">
        <f t="shared" si="81"/>
        <v/>
      </c>
      <c r="J88" s="410" t="str">
        <f t="shared" si="81"/>
        <v/>
      </c>
      <c r="K88" s="410" t="str">
        <f t="shared" si="81"/>
        <v/>
      </c>
      <c r="L88" s="410" t="str">
        <f t="shared" si="81"/>
        <v/>
      </c>
      <c r="M88" s="410" t="str">
        <f t="shared" si="81"/>
        <v/>
      </c>
      <c r="N88" t="str">
        <f>IF(COUNTBLANK(N17)=0,'Cost Calc'!P$8,"")</f>
        <v/>
      </c>
      <c r="O88" t="str">
        <f>IF(COUNTBLANK(O17)=0,'Cost Calc'!Q$8,"")</f>
        <v/>
      </c>
      <c r="P88" t="str">
        <f>IF(COUNTBLANK(P17)=0,'Cost Calc'!R$8,"")</f>
        <v/>
      </c>
      <c r="Q88" t="str">
        <f>IF(COUNTBLANK(Q17)=0,'Cost Calc'!S$8,"")</f>
        <v/>
      </c>
      <c r="R88" t="str">
        <f>IF(COUNTBLANK(R17)=0,'Cost Calc'!T$8,"")</f>
        <v/>
      </c>
      <c r="S88" t="str">
        <f>IF(COUNTBLANK(S17)=0,'Cost Calc'!U$8,"")</f>
        <v/>
      </c>
      <c r="T88" t="str">
        <f>IF(COUNTBLANK(T17)=0,'Cost Calc'!V$8,"")</f>
        <v/>
      </c>
      <c r="U88" t="str">
        <f>IF(COUNTBLANK(U17)=0,'Cost Calc'!V$8,"")</f>
        <v/>
      </c>
      <c r="V88" t="str">
        <f>IF(COUNTBLANK(V17)=0,V17,"")</f>
        <v/>
      </c>
      <c r="W88" t="str">
        <f>IF(COUNTBLANK(W17)=0,'Cost Calc'!Y$8,"")</f>
        <v/>
      </c>
      <c r="X88" t="str">
        <f>IF(COUNTBLANK(X17)=0,'Cost Calc'!Y$8,"")</f>
        <v/>
      </c>
      <c r="Y88" t="str">
        <f>IF(COUNTBLANK(Y17)=0,'Cost Calc'!AA$8,"")</f>
        <v/>
      </c>
      <c r="Z88" t="str">
        <f>IF(OR(Z17="A",Z17="X",Z17="a",Z17="x"),'Cost Calc'!AC$8,"")</f>
        <v/>
      </c>
      <c r="AA88" t="str">
        <f>IF(OR(Z17="B",Z17="b"),'Cost Calc'!AD$8,"")</f>
        <v/>
      </c>
      <c r="AB88" s="266">
        <f>IF(COUNTBLANK(C88:D88)&lt;2,IF(M88="N",'Cost Calc'!L$37,'Cost Calc'!L$38),0)</f>
        <v>0</v>
      </c>
      <c r="AC88">
        <f t="shared" ref="AC88:AC114" si="82">AB88+SUM(N88:AA88)</f>
        <v>0</v>
      </c>
      <c r="AE88" s="27"/>
      <c r="AN88" s="1"/>
      <c r="AO88" s="1"/>
      <c r="AP88" s="1"/>
      <c r="AQ88" s="1"/>
      <c r="BD88" s="1"/>
      <c r="BE88" s="1"/>
    </row>
    <row r="89" spans="1:64" ht="13.5" hidden="1" x14ac:dyDescent="0.25">
      <c r="A89" s="252"/>
      <c r="C89" t="str">
        <f t="shared" ref="C89:D89" si="83">C59</f>
        <v/>
      </c>
      <c r="D89" t="str">
        <f t="shared" si="83"/>
        <v/>
      </c>
      <c r="E89" s="410" t="str">
        <f t="shared" ref="E89:E114" si="84">IF(COUNTBLANK($C18:$D18)=0,E18,"")</f>
        <v/>
      </c>
      <c r="F89" s="410" t="str">
        <f t="shared" ref="F89:M89" si="85">IF(COUNTBLANK(F18)=0,F18,"")</f>
        <v/>
      </c>
      <c r="G89" s="410"/>
      <c r="H89" s="414" t="str">
        <f t="shared" si="85"/>
        <v/>
      </c>
      <c r="I89" s="410" t="str">
        <f t="shared" si="85"/>
        <v/>
      </c>
      <c r="J89" s="410" t="str">
        <f t="shared" si="85"/>
        <v/>
      </c>
      <c r="K89" s="410" t="str">
        <f t="shared" si="85"/>
        <v/>
      </c>
      <c r="L89" s="410" t="str">
        <f t="shared" si="85"/>
        <v/>
      </c>
      <c r="M89" s="410" t="str">
        <f t="shared" si="85"/>
        <v/>
      </c>
      <c r="N89" t="str">
        <f>IF(COUNTBLANK(N18)=0,'Cost Calc'!P$8,"")</f>
        <v/>
      </c>
      <c r="O89" t="str">
        <f>IF(COUNTBLANK(O18)=0,'Cost Calc'!Q$8,"")</f>
        <v/>
      </c>
      <c r="P89" t="str">
        <f>IF(COUNTBLANK(P18)=0,'Cost Calc'!R$8,"")</f>
        <v/>
      </c>
      <c r="Q89" t="str">
        <f>IF(COUNTBLANK(Q18)=0,'Cost Calc'!S$8,"")</f>
        <v/>
      </c>
      <c r="R89" t="str">
        <f>IF(COUNTBLANK(R18)=0,'Cost Calc'!T$8,"")</f>
        <v/>
      </c>
      <c r="S89" t="str">
        <f>IF(COUNTBLANK(S18)=0,'Cost Calc'!U$8,"")</f>
        <v/>
      </c>
      <c r="T89" t="str">
        <f>IF(COUNTBLANK(T18)=0,'Cost Calc'!V$8,"")</f>
        <v/>
      </c>
      <c r="U89" t="str">
        <f>IF(COUNTBLANK(U18)=0,'Cost Calc'!V$8,"")</f>
        <v/>
      </c>
      <c r="V89" t="str">
        <f t="shared" ref="V89:V114" si="86">IF(COUNTBLANK(V18)=0,V18,"")</f>
        <v/>
      </c>
      <c r="W89" t="str">
        <f>IF(COUNTBLANK(W18)=0,'Cost Calc'!Y$8,"")</f>
        <v/>
      </c>
      <c r="X89" t="str">
        <f>IF(COUNTBLANK(X18)=0,'Cost Calc'!Y$8,"")</f>
        <v/>
      </c>
      <c r="Y89" t="str">
        <f>IF(COUNTBLANK(Y18)=0,'Cost Calc'!AA$8,"")</f>
        <v/>
      </c>
      <c r="Z89" t="str">
        <f>IF(OR(Z18="A",Z18="X",Z18="a",Z18="x"),'Cost Calc'!AC$8,"")</f>
        <v/>
      </c>
      <c r="AA89" t="str">
        <f>IF(OR(Z18="B",Z18="b"),'Cost Calc'!AD$8,"")</f>
        <v/>
      </c>
      <c r="AB89" s="266">
        <f>IF(COUNTBLANK(C89:D89)&lt;2,IF(M89="N",'Cost Calc'!L$37,'Cost Calc'!L$38),0)</f>
        <v>0</v>
      </c>
      <c r="AC89">
        <f t="shared" si="82"/>
        <v>0</v>
      </c>
      <c r="AE89" s="27"/>
      <c r="AN89" s="1"/>
      <c r="AO89" s="1"/>
      <c r="AP89" s="1"/>
      <c r="AQ89" s="1"/>
      <c r="BD89" s="1"/>
      <c r="BE89" s="1"/>
    </row>
    <row r="90" spans="1:64" ht="13.5" hidden="1" x14ac:dyDescent="0.25">
      <c r="A90" s="252"/>
      <c r="C90" t="str">
        <f t="shared" ref="C90:D90" si="87">C60</f>
        <v/>
      </c>
      <c r="D90" t="str">
        <f t="shared" si="87"/>
        <v/>
      </c>
      <c r="E90" s="410" t="str">
        <f t="shared" si="84"/>
        <v/>
      </c>
      <c r="F90" s="410" t="str">
        <f t="shared" ref="F90:M90" si="88">IF(COUNTBLANK(F19)=0,F19,"")</f>
        <v/>
      </c>
      <c r="G90" s="410"/>
      <c r="H90" s="414" t="str">
        <f t="shared" si="88"/>
        <v/>
      </c>
      <c r="I90" s="410" t="str">
        <f t="shared" si="88"/>
        <v/>
      </c>
      <c r="J90" s="410" t="str">
        <f t="shared" si="88"/>
        <v/>
      </c>
      <c r="K90" s="410" t="str">
        <f t="shared" si="88"/>
        <v/>
      </c>
      <c r="L90" s="410" t="str">
        <f t="shared" si="88"/>
        <v/>
      </c>
      <c r="M90" s="410" t="str">
        <f t="shared" si="88"/>
        <v/>
      </c>
      <c r="N90" t="str">
        <f>IF(COUNTBLANK(N19)=0,'Cost Calc'!P$8,"")</f>
        <v/>
      </c>
      <c r="O90" t="str">
        <f>IF(COUNTBLANK(O19)=0,'Cost Calc'!Q$8,"")</f>
        <v/>
      </c>
      <c r="P90" t="str">
        <f>IF(COUNTBLANK(P19)=0,'Cost Calc'!R$8,"")</f>
        <v/>
      </c>
      <c r="Q90" t="str">
        <f>IF(COUNTBLANK(Q19)=0,'Cost Calc'!S$8,"")</f>
        <v/>
      </c>
      <c r="R90" t="str">
        <f>IF(COUNTBLANK(R19)=0,'Cost Calc'!T$8,"")</f>
        <v/>
      </c>
      <c r="S90" t="str">
        <f>IF(COUNTBLANK(S19)=0,'Cost Calc'!U$8,"")</f>
        <v/>
      </c>
      <c r="T90" t="str">
        <f>IF(COUNTBLANK(T19)=0,'Cost Calc'!V$8,"")</f>
        <v/>
      </c>
      <c r="U90" t="str">
        <f>IF(COUNTBLANK(U19)=0,'Cost Calc'!V$8,"")</f>
        <v/>
      </c>
      <c r="V90" t="str">
        <f t="shared" si="86"/>
        <v/>
      </c>
      <c r="W90" t="str">
        <f>IF(COUNTBLANK(W19)=0,'Cost Calc'!Y$8,"")</f>
        <v/>
      </c>
      <c r="X90" t="str">
        <f>IF(COUNTBLANK(X19)=0,'Cost Calc'!Y$8,"")</f>
        <v/>
      </c>
      <c r="Y90" t="str">
        <f>IF(COUNTBLANK(Y19)=0,'Cost Calc'!AA$8,"")</f>
        <v/>
      </c>
      <c r="Z90" t="str">
        <f>IF(OR(Z19="A",Z19="X",Z19="a",Z19="x"),'Cost Calc'!AC$8,"")</f>
        <v/>
      </c>
      <c r="AA90" t="str">
        <f>IF(OR(Z19="B",Z19="b"),'Cost Calc'!AD$8,"")</f>
        <v/>
      </c>
      <c r="AB90" s="266">
        <f>IF(COUNTBLANK(C90:D90)&lt;2,IF(M90="N",'Cost Calc'!L$37,'Cost Calc'!L$38),0)</f>
        <v>0</v>
      </c>
      <c r="AC90">
        <f t="shared" si="82"/>
        <v>0</v>
      </c>
      <c r="AE90" s="27"/>
      <c r="AN90" s="1"/>
      <c r="AO90" s="1"/>
      <c r="AP90" s="1"/>
      <c r="AQ90" s="1"/>
      <c r="BD90" s="1"/>
      <c r="BE90" s="1"/>
    </row>
    <row r="91" spans="1:64" ht="13.5" hidden="1" x14ac:dyDescent="0.25">
      <c r="A91" s="252"/>
      <c r="C91" t="str">
        <f t="shared" ref="C91:D91" si="89">C61</f>
        <v/>
      </c>
      <c r="D91" t="str">
        <f t="shared" si="89"/>
        <v/>
      </c>
      <c r="E91" s="410" t="str">
        <f t="shared" si="84"/>
        <v/>
      </c>
      <c r="F91" s="410" t="str">
        <f t="shared" ref="F91:M91" si="90">IF(COUNTBLANK(F20)=0,F20,"")</f>
        <v/>
      </c>
      <c r="G91" s="410"/>
      <c r="H91" s="414" t="str">
        <f t="shared" si="90"/>
        <v/>
      </c>
      <c r="I91" s="410" t="str">
        <f t="shared" si="90"/>
        <v/>
      </c>
      <c r="J91" s="410" t="str">
        <f t="shared" si="90"/>
        <v/>
      </c>
      <c r="K91" s="410" t="str">
        <f t="shared" si="90"/>
        <v/>
      </c>
      <c r="L91" s="410" t="str">
        <f t="shared" si="90"/>
        <v/>
      </c>
      <c r="M91" s="410" t="str">
        <f t="shared" si="90"/>
        <v/>
      </c>
      <c r="N91" t="str">
        <f>IF(COUNTBLANK(N20)=0,'Cost Calc'!P$8,"")</f>
        <v/>
      </c>
      <c r="O91" t="str">
        <f>IF(COUNTBLANK(O20)=0,'Cost Calc'!Q$8,"")</f>
        <v/>
      </c>
      <c r="P91" t="str">
        <f>IF(COUNTBLANK(P20)=0,'Cost Calc'!R$8,"")</f>
        <v/>
      </c>
      <c r="Q91" t="str">
        <f>IF(COUNTBLANK(Q20)=0,'Cost Calc'!S$8,"")</f>
        <v/>
      </c>
      <c r="R91" t="str">
        <f>IF(COUNTBLANK(R20)=0,'Cost Calc'!T$8,"")</f>
        <v/>
      </c>
      <c r="S91" t="str">
        <f>IF(COUNTBLANK(S20)=0,'Cost Calc'!U$8,"")</f>
        <v/>
      </c>
      <c r="T91" t="str">
        <f>IF(COUNTBLANK(T20)=0,'Cost Calc'!V$8,"")</f>
        <v/>
      </c>
      <c r="U91" t="str">
        <f>IF(COUNTBLANK(U20)=0,'Cost Calc'!V$8,"")</f>
        <v/>
      </c>
      <c r="V91" t="str">
        <f t="shared" si="86"/>
        <v/>
      </c>
      <c r="W91" t="str">
        <f>IF(COUNTBLANK(W20)=0,'Cost Calc'!Y$8,"")</f>
        <v/>
      </c>
      <c r="X91" t="str">
        <f>IF(COUNTBLANK(X20)=0,'Cost Calc'!Y$8,"")</f>
        <v/>
      </c>
      <c r="Y91" t="str">
        <f>IF(COUNTBLANK(Y20)=0,'Cost Calc'!AA$8,"")</f>
        <v/>
      </c>
      <c r="Z91" t="str">
        <f>IF(OR(Z20="A",Z20="X",Z20="a",Z20="x"),'Cost Calc'!AC$8,"")</f>
        <v/>
      </c>
      <c r="AA91" t="str">
        <f>IF(OR(Z20="B",Z20="b"),'Cost Calc'!AD$8,"")</f>
        <v/>
      </c>
      <c r="AB91" s="266">
        <f>IF(COUNTBLANK(C91:D91)&lt;2,IF(M91="N",'Cost Calc'!L$37,'Cost Calc'!L$38),0)</f>
        <v>0</v>
      </c>
      <c r="AC91">
        <f t="shared" si="82"/>
        <v>0</v>
      </c>
      <c r="AE91" s="27"/>
      <c r="AN91" s="1"/>
      <c r="AO91" s="1"/>
      <c r="AP91" s="1"/>
      <c r="AQ91" s="1"/>
      <c r="BD91" s="1"/>
      <c r="BE91" s="1"/>
    </row>
    <row r="92" spans="1:64" ht="13.5" hidden="1" x14ac:dyDescent="0.25">
      <c r="A92" s="252"/>
      <c r="C92" t="str">
        <f t="shared" ref="C92:D92" si="91">C62</f>
        <v/>
      </c>
      <c r="D92" t="str">
        <f t="shared" si="91"/>
        <v/>
      </c>
      <c r="E92" s="410" t="str">
        <f t="shared" si="84"/>
        <v/>
      </c>
      <c r="F92" s="410" t="str">
        <f t="shared" ref="F92:M92" si="92">IF(COUNTBLANK(F21)=0,F21,"")</f>
        <v/>
      </c>
      <c r="G92" s="410"/>
      <c r="H92" s="414" t="str">
        <f t="shared" si="92"/>
        <v/>
      </c>
      <c r="I92" s="410" t="str">
        <f t="shared" si="92"/>
        <v/>
      </c>
      <c r="J92" s="410" t="str">
        <f t="shared" si="92"/>
        <v/>
      </c>
      <c r="K92" s="410" t="str">
        <f t="shared" si="92"/>
        <v/>
      </c>
      <c r="L92" s="410" t="str">
        <f t="shared" si="92"/>
        <v/>
      </c>
      <c r="M92" s="410" t="str">
        <f t="shared" si="92"/>
        <v/>
      </c>
      <c r="N92" t="str">
        <f>IF(COUNTBLANK(N21)=0,'Cost Calc'!P$8,"")</f>
        <v/>
      </c>
      <c r="O92" t="str">
        <f>IF(COUNTBLANK(O21)=0,'Cost Calc'!Q$8,"")</f>
        <v/>
      </c>
      <c r="P92" t="str">
        <f>IF(COUNTBLANK(P21)=0,'Cost Calc'!R$8,"")</f>
        <v/>
      </c>
      <c r="Q92" t="str">
        <f>IF(COUNTBLANK(Q21)=0,'Cost Calc'!S$8,"")</f>
        <v/>
      </c>
      <c r="R92" t="str">
        <f>IF(COUNTBLANK(R21)=0,'Cost Calc'!T$8,"")</f>
        <v/>
      </c>
      <c r="S92" t="str">
        <f>IF(COUNTBLANK(S21)=0,'Cost Calc'!U$8,"")</f>
        <v/>
      </c>
      <c r="T92" t="str">
        <f>IF(COUNTBLANK(T21)=0,'Cost Calc'!V$8,"")</f>
        <v/>
      </c>
      <c r="U92" t="str">
        <f>IF(COUNTBLANK(U21)=0,'Cost Calc'!V$8,"")</f>
        <v/>
      </c>
      <c r="V92" t="str">
        <f t="shared" si="86"/>
        <v/>
      </c>
      <c r="W92" t="str">
        <f>IF(COUNTBLANK(W21)=0,'Cost Calc'!Y$8,"")</f>
        <v/>
      </c>
      <c r="X92" t="str">
        <f>IF(COUNTBLANK(X21)=0,'Cost Calc'!Y$8,"")</f>
        <v/>
      </c>
      <c r="Y92" t="str">
        <f>IF(COUNTBLANK(Y21)=0,'Cost Calc'!AA$8,"")</f>
        <v/>
      </c>
      <c r="Z92" t="str">
        <f>IF(OR(Z21="A",Z21="X",Z21="a",Z21="x"),'Cost Calc'!AC$8,"")</f>
        <v/>
      </c>
      <c r="AA92" t="str">
        <f>IF(OR(Z21="B",Z21="b"),'Cost Calc'!AD$8,"")</f>
        <v/>
      </c>
      <c r="AB92" s="266">
        <f>IF(COUNTBLANK(C92:D92)&lt;2,IF(M92="N",'Cost Calc'!L$37,'Cost Calc'!L$38),0)</f>
        <v>0</v>
      </c>
      <c r="AC92">
        <f t="shared" si="82"/>
        <v>0</v>
      </c>
      <c r="AE92" s="27"/>
      <c r="AN92" s="1"/>
      <c r="AO92" s="1"/>
      <c r="AP92" s="1"/>
      <c r="AQ92" s="1"/>
      <c r="BD92" s="1"/>
      <c r="BE92" s="1"/>
    </row>
    <row r="93" spans="1:64" ht="13.5" hidden="1" x14ac:dyDescent="0.25">
      <c r="A93" s="252"/>
      <c r="C93" t="str">
        <f t="shared" ref="C93:D93" si="93">C63</f>
        <v/>
      </c>
      <c r="D93" t="str">
        <f t="shared" si="93"/>
        <v/>
      </c>
      <c r="E93" s="410" t="str">
        <f t="shared" si="84"/>
        <v/>
      </c>
      <c r="F93" s="410" t="str">
        <f t="shared" ref="F93:L93" si="94">IF(COUNTBLANK(F22)=0,F22,"")</f>
        <v/>
      </c>
      <c r="G93" s="410"/>
      <c r="H93" s="414" t="str">
        <f t="shared" si="94"/>
        <v/>
      </c>
      <c r="I93" s="410" t="str">
        <f t="shared" si="94"/>
        <v/>
      </c>
      <c r="J93" s="410" t="str">
        <f t="shared" si="94"/>
        <v/>
      </c>
      <c r="K93" s="410" t="str">
        <f t="shared" si="94"/>
        <v/>
      </c>
      <c r="L93" s="410" t="str">
        <f t="shared" si="94"/>
        <v/>
      </c>
      <c r="M93" s="410" t="str">
        <f>IF(COUNTBLANK(M22)=0,M22,"")</f>
        <v/>
      </c>
      <c r="N93" t="str">
        <f>IF(COUNTBLANK(N22)=0,'Cost Calc'!P$8,"")</f>
        <v/>
      </c>
      <c r="O93" t="str">
        <f>IF(COUNTBLANK(O22)=0,'Cost Calc'!Q$8,"")</f>
        <v/>
      </c>
      <c r="P93" t="str">
        <f>IF(COUNTBLANK(P22)=0,'Cost Calc'!R$8,"")</f>
        <v/>
      </c>
      <c r="Q93" t="str">
        <f>IF(COUNTBLANK(Q22)=0,'Cost Calc'!S$8,"")</f>
        <v/>
      </c>
      <c r="R93" t="str">
        <f>IF(COUNTBLANK(R22)=0,'Cost Calc'!T$8,"")</f>
        <v/>
      </c>
      <c r="S93" t="str">
        <f>IF(COUNTBLANK(S22)=0,'Cost Calc'!U$8,"")</f>
        <v/>
      </c>
      <c r="T93" t="str">
        <f>IF(COUNTBLANK(T22)=0,'Cost Calc'!V$8,"")</f>
        <v/>
      </c>
      <c r="U93" t="str">
        <f>IF(COUNTBLANK(U22)=0,'Cost Calc'!V$8,"")</f>
        <v/>
      </c>
      <c r="V93" t="str">
        <f t="shared" si="86"/>
        <v/>
      </c>
      <c r="W93" t="str">
        <f>IF(COUNTBLANK(W22)=0,'Cost Calc'!Y$8,"")</f>
        <v/>
      </c>
      <c r="X93" t="str">
        <f>IF(COUNTBLANK(X22)=0,'Cost Calc'!Y$8,"")</f>
        <v/>
      </c>
      <c r="Y93" t="str">
        <f>IF(COUNTBLANK(Y22)=0,'Cost Calc'!AA$8,"")</f>
        <v/>
      </c>
      <c r="Z93" t="str">
        <f>IF(OR(Z22="A",Z22="X",Z22="a",Z22="x"),'Cost Calc'!AC$8,"")</f>
        <v/>
      </c>
      <c r="AA93" t="str">
        <f>IF(OR(Z22="B",Z22="b"),'Cost Calc'!AD$8,"")</f>
        <v/>
      </c>
      <c r="AB93" s="266">
        <f>IF(COUNTBLANK(C93:D93)&lt;2,IF(M93="N",'Cost Calc'!L$37,'Cost Calc'!L$38),0)</f>
        <v>0</v>
      </c>
      <c r="AC93">
        <f t="shared" si="82"/>
        <v>0</v>
      </c>
      <c r="AE93" s="27"/>
      <c r="AN93" s="1"/>
      <c r="AO93" s="1"/>
      <c r="AP93" s="1"/>
      <c r="AQ93" s="1"/>
      <c r="BD93" s="1"/>
      <c r="BE93" s="1"/>
    </row>
    <row r="94" spans="1:64" ht="13.5" hidden="1" x14ac:dyDescent="0.25">
      <c r="A94" s="252"/>
      <c r="C94" t="str">
        <f t="shared" ref="C94:D94" si="95">C64</f>
        <v/>
      </c>
      <c r="D94" t="str">
        <f t="shared" si="95"/>
        <v/>
      </c>
      <c r="E94" s="410" t="str">
        <f t="shared" si="84"/>
        <v/>
      </c>
      <c r="F94" s="410" t="str">
        <f t="shared" ref="F94:M94" si="96">IF(COUNTBLANK(F23)=0,F23,"")</f>
        <v/>
      </c>
      <c r="G94" s="410"/>
      <c r="H94" s="414" t="str">
        <f t="shared" si="96"/>
        <v/>
      </c>
      <c r="I94" s="410" t="str">
        <f t="shared" si="96"/>
        <v/>
      </c>
      <c r="J94" s="410" t="str">
        <f t="shared" si="96"/>
        <v/>
      </c>
      <c r="K94" s="410" t="str">
        <f t="shared" si="96"/>
        <v/>
      </c>
      <c r="L94" s="410" t="str">
        <f t="shared" si="96"/>
        <v/>
      </c>
      <c r="M94" s="410" t="str">
        <f t="shared" si="96"/>
        <v/>
      </c>
      <c r="N94" t="str">
        <f>IF(COUNTBLANK(N23)=0,'Cost Calc'!P$8,"")</f>
        <v/>
      </c>
      <c r="O94" t="str">
        <f>IF(COUNTBLANK(O23)=0,'Cost Calc'!Q$8,"")</f>
        <v/>
      </c>
      <c r="P94" t="str">
        <f>IF(COUNTBLANK(P23)=0,'Cost Calc'!R$8,"")</f>
        <v/>
      </c>
      <c r="Q94" t="str">
        <f>IF(COUNTBLANK(Q23)=0,'Cost Calc'!S$8,"")</f>
        <v/>
      </c>
      <c r="R94" t="str">
        <f>IF(COUNTBLANK(R23)=0,'Cost Calc'!T$8,"")</f>
        <v/>
      </c>
      <c r="S94" t="str">
        <f>IF(COUNTBLANK(S23)=0,'Cost Calc'!U$8,"")</f>
        <v/>
      </c>
      <c r="T94" t="str">
        <f>IF(COUNTBLANK(T23)=0,'Cost Calc'!V$8,"")</f>
        <v/>
      </c>
      <c r="U94" t="str">
        <f>IF(COUNTBLANK(U23)=0,'Cost Calc'!V$8,"")</f>
        <v/>
      </c>
      <c r="V94" t="str">
        <f t="shared" si="86"/>
        <v/>
      </c>
      <c r="W94" t="str">
        <f>IF(COUNTBLANK(W23)=0,'Cost Calc'!Y$8,"")</f>
        <v/>
      </c>
      <c r="X94" t="str">
        <f>IF(COUNTBLANK(X23)=0,'Cost Calc'!Y$8,"")</f>
        <v/>
      </c>
      <c r="Y94" t="str">
        <f>IF(COUNTBLANK(Y23)=0,'Cost Calc'!AA$8,"")</f>
        <v/>
      </c>
      <c r="Z94" t="str">
        <f>IF(OR(Z23="A",Z23="X",Z23="a",Z23="x"),'Cost Calc'!AC$8,"")</f>
        <v/>
      </c>
      <c r="AA94" t="str">
        <f>IF(OR(Z23="B",Z23="b"),'Cost Calc'!AD$8,"")</f>
        <v/>
      </c>
      <c r="AB94" s="266">
        <f>IF(COUNTBLANK(C94:D94)&lt;2,IF(M94="N",'Cost Calc'!L$37,'Cost Calc'!L$38),0)</f>
        <v>0</v>
      </c>
      <c r="AC94">
        <f t="shared" si="82"/>
        <v>0</v>
      </c>
      <c r="AE94" s="27"/>
      <c r="AN94" s="1"/>
      <c r="AO94" s="1"/>
      <c r="AP94" s="1"/>
      <c r="AQ94" s="1"/>
      <c r="BD94" s="1"/>
      <c r="BE94" s="1"/>
    </row>
    <row r="95" spans="1:64" ht="13.5" hidden="1" x14ac:dyDescent="0.25">
      <c r="A95" s="252"/>
      <c r="C95" t="str">
        <f t="shared" ref="C95:D95" si="97">C65</f>
        <v/>
      </c>
      <c r="D95" t="str">
        <f t="shared" si="97"/>
        <v/>
      </c>
      <c r="E95" s="410" t="str">
        <f t="shared" si="84"/>
        <v/>
      </c>
      <c r="F95" s="410" t="str">
        <f t="shared" ref="F95:M95" si="98">IF(COUNTBLANK(F24)=0,F24,"")</f>
        <v/>
      </c>
      <c r="G95" s="410"/>
      <c r="H95" s="414" t="str">
        <f t="shared" si="98"/>
        <v/>
      </c>
      <c r="I95" s="410" t="str">
        <f t="shared" si="98"/>
        <v/>
      </c>
      <c r="J95" s="410" t="str">
        <f t="shared" si="98"/>
        <v/>
      </c>
      <c r="K95" s="410" t="str">
        <f t="shared" si="98"/>
        <v/>
      </c>
      <c r="L95" s="410" t="str">
        <f t="shared" si="98"/>
        <v/>
      </c>
      <c r="M95" s="410" t="str">
        <f t="shared" si="98"/>
        <v/>
      </c>
      <c r="N95" t="str">
        <f>IF(COUNTBLANK(N24)=0,'Cost Calc'!P$8,"")</f>
        <v/>
      </c>
      <c r="O95" t="str">
        <f>IF(COUNTBLANK(O24)=0,'Cost Calc'!Q$8,"")</f>
        <v/>
      </c>
      <c r="P95" t="str">
        <f>IF(COUNTBLANK(P24)=0,'Cost Calc'!R$8,"")</f>
        <v/>
      </c>
      <c r="Q95" t="str">
        <f>IF(COUNTBLANK(Q24)=0,'Cost Calc'!S$8,"")</f>
        <v/>
      </c>
      <c r="R95" t="str">
        <f>IF(COUNTBLANK(R24)=0,'Cost Calc'!T$8,"")</f>
        <v/>
      </c>
      <c r="S95" t="str">
        <f>IF(COUNTBLANK(S24)=0,'Cost Calc'!U$8,"")</f>
        <v/>
      </c>
      <c r="T95" t="str">
        <f>IF(COUNTBLANK(T24)=0,'Cost Calc'!V$8,"")</f>
        <v/>
      </c>
      <c r="U95" t="str">
        <f>IF(COUNTBLANK(U24)=0,'Cost Calc'!V$8,"")</f>
        <v/>
      </c>
      <c r="V95" t="str">
        <f t="shared" si="86"/>
        <v/>
      </c>
      <c r="W95" t="str">
        <f>IF(COUNTBLANK(W24)=0,'Cost Calc'!Y$8,"")</f>
        <v/>
      </c>
      <c r="X95" t="str">
        <f>IF(COUNTBLANK(X24)=0,'Cost Calc'!Y$8,"")</f>
        <v/>
      </c>
      <c r="Y95" t="str">
        <f>IF(COUNTBLANK(Y24)=0,'Cost Calc'!AA$8,"")</f>
        <v/>
      </c>
      <c r="Z95" t="str">
        <f>IF(OR(Z24="A",Z24="X",Z24="a",Z24="x"),'Cost Calc'!AC$8,"")</f>
        <v/>
      </c>
      <c r="AA95" t="str">
        <f>IF(OR(Z24="B",Z24="b"),'Cost Calc'!AD$8,"")</f>
        <v/>
      </c>
      <c r="AB95" s="266">
        <f>IF(COUNTBLANK(C95:D95)&lt;2,IF(M95="N",'Cost Calc'!L$37,'Cost Calc'!L$38),0)</f>
        <v>0</v>
      </c>
      <c r="AC95">
        <f t="shared" si="82"/>
        <v>0</v>
      </c>
      <c r="AE95" s="27"/>
      <c r="AN95" s="1"/>
      <c r="AO95" s="1"/>
      <c r="AP95" s="1"/>
      <c r="AQ95" s="1"/>
      <c r="BD95" s="1"/>
      <c r="BE95" s="1"/>
    </row>
    <row r="96" spans="1:64" ht="13.5" hidden="1" x14ac:dyDescent="0.25">
      <c r="A96" s="252"/>
      <c r="C96" t="str">
        <f t="shared" ref="C96:D96" si="99">C66</f>
        <v/>
      </c>
      <c r="D96" t="str">
        <f t="shared" si="99"/>
        <v/>
      </c>
      <c r="E96" s="410" t="str">
        <f t="shared" si="84"/>
        <v/>
      </c>
      <c r="F96" s="410" t="str">
        <f t="shared" ref="F96:M96" si="100">IF(COUNTBLANK(F25)=0,F25,"")</f>
        <v/>
      </c>
      <c r="G96" s="410"/>
      <c r="H96" s="414" t="str">
        <f t="shared" si="100"/>
        <v/>
      </c>
      <c r="I96" s="410" t="str">
        <f t="shared" si="100"/>
        <v/>
      </c>
      <c r="J96" s="410" t="str">
        <f t="shared" si="100"/>
        <v/>
      </c>
      <c r="K96" s="410" t="str">
        <f t="shared" si="100"/>
        <v/>
      </c>
      <c r="L96" s="410" t="str">
        <f t="shared" si="100"/>
        <v/>
      </c>
      <c r="M96" s="410" t="str">
        <f t="shared" si="100"/>
        <v/>
      </c>
      <c r="N96" t="str">
        <f>IF(COUNTBLANK(N25)=0,'Cost Calc'!P$8,"")</f>
        <v/>
      </c>
      <c r="O96" t="str">
        <f>IF(COUNTBLANK(O25)=0,'Cost Calc'!Q$8,"")</f>
        <v/>
      </c>
      <c r="P96" t="str">
        <f>IF(COUNTBLANK(P25)=0,'Cost Calc'!R$8,"")</f>
        <v/>
      </c>
      <c r="Q96" t="str">
        <f>IF(COUNTBLANK(Q25)=0,'Cost Calc'!S$8,"")</f>
        <v/>
      </c>
      <c r="R96" t="str">
        <f>IF(COUNTBLANK(R25)=0,'Cost Calc'!T$8,"")</f>
        <v/>
      </c>
      <c r="S96" t="str">
        <f>IF(COUNTBLANK(S25)=0,'Cost Calc'!U$8,"")</f>
        <v/>
      </c>
      <c r="T96" t="str">
        <f>IF(COUNTBLANK(T25)=0,'Cost Calc'!V$8,"")</f>
        <v/>
      </c>
      <c r="U96" t="str">
        <f>IF(COUNTBLANK(U25)=0,'Cost Calc'!V$8,"")</f>
        <v/>
      </c>
      <c r="V96" t="str">
        <f t="shared" si="86"/>
        <v/>
      </c>
      <c r="W96" t="str">
        <f>IF(COUNTBLANK(W25)=0,'Cost Calc'!Y$8,"")</f>
        <v/>
      </c>
      <c r="X96" t="str">
        <f>IF(COUNTBLANK(X25)=0,'Cost Calc'!Y$8,"")</f>
        <v/>
      </c>
      <c r="Y96" t="str">
        <f>IF(COUNTBLANK(Y25)=0,'Cost Calc'!AA$8,"")</f>
        <v/>
      </c>
      <c r="Z96" t="str">
        <f>IF(OR(Z25="A",Z25="X",Z25="a",Z25="x"),'Cost Calc'!AC$8,"")</f>
        <v/>
      </c>
      <c r="AA96" t="str">
        <f>IF(OR(Z25="B",Z25="b"),'Cost Calc'!AD$8,"")</f>
        <v/>
      </c>
      <c r="AB96" s="266">
        <f>IF(COUNTBLANK(C96:D96)&lt;2,IF(M96="N",'Cost Calc'!L$37,'Cost Calc'!L$38),0)</f>
        <v>0</v>
      </c>
      <c r="AC96">
        <f t="shared" si="82"/>
        <v>0</v>
      </c>
      <c r="AE96" s="27"/>
      <c r="AN96" s="1"/>
      <c r="AO96" s="1"/>
      <c r="AP96" s="1"/>
      <c r="AQ96" s="1"/>
      <c r="BD96" s="1"/>
      <c r="BE96" s="1"/>
    </row>
    <row r="97" spans="1:57" ht="13.5" hidden="1" x14ac:dyDescent="0.25">
      <c r="A97" s="252"/>
      <c r="C97" t="str">
        <f t="shared" ref="C97:D97" si="101">C67</f>
        <v/>
      </c>
      <c r="D97" t="str">
        <f t="shared" si="101"/>
        <v/>
      </c>
      <c r="E97" s="410" t="str">
        <f t="shared" si="84"/>
        <v/>
      </c>
      <c r="F97" s="410" t="str">
        <f t="shared" ref="F97:M97" si="102">IF(COUNTBLANK(F26)=0,F26,"")</f>
        <v/>
      </c>
      <c r="G97" s="410"/>
      <c r="H97" s="414" t="str">
        <f t="shared" si="102"/>
        <v/>
      </c>
      <c r="I97" s="410" t="str">
        <f t="shared" si="102"/>
        <v/>
      </c>
      <c r="J97" s="410" t="str">
        <f t="shared" si="102"/>
        <v/>
      </c>
      <c r="K97" s="410" t="str">
        <f t="shared" si="102"/>
        <v/>
      </c>
      <c r="L97" s="410" t="str">
        <f t="shared" si="102"/>
        <v/>
      </c>
      <c r="M97" s="410" t="str">
        <f t="shared" si="102"/>
        <v/>
      </c>
      <c r="N97" t="str">
        <f>IF(COUNTBLANK(N26)=0,'Cost Calc'!P$8,"")</f>
        <v/>
      </c>
      <c r="O97" t="str">
        <f>IF(COUNTBLANK(O26)=0,'Cost Calc'!Q$8,"")</f>
        <v/>
      </c>
      <c r="P97" t="str">
        <f>IF(COUNTBLANK(P26)=0,'Cost Calc'!R$8,"")</f>
        <v/>
      </c>
      <c r="Q97" t="str">
        <f>IF(COUNTBLANK(Q26)=0,'Cost Calc'!S$8,"")</f>
        <v/>
      </c>
      <c r="R97" t="str">
        <f>IF(COUNTBLANK(R26)=0,'Cost Calc'!T$8,"")</f>
        <v/>
      </c>
      <c r="S97" t="str">
        <f>IF(COUNTBLANK(S26)=0,'Cost Calc'!U$8,"")</f>
        <v/>
      </c>
      <c r="T97" t="str">
        <f>IF(COUNTBLANK(T26)=0,'Cost Calc'!V$8,"")</f>
        <v/>
      </c>
      <c r="U97" t="str">
        <f>IF(COUNTBLANK(U26)=0,'Cost Calc'!V$8,"")</f>
        <v/>
      </c>
      <c r="V97" t="str">
        <f t="shared" si="86"/>
        <v/>
      </c>
      <c r="W97" t="str">
        <f>IF(COUNTBLANK(W26)=0,'Cost Calc'!Y$8,"")</f>
        <v/>
      </c>
      <c r="X97" t="str">
        <f>IF(COUNTBLANK(X26)=0,'Cost Calc'!Y$8,"")</f>
        <v/>
      </c>
      <c r="Y97" t="str">
        <f>IF(COUNTBLANK(Y26)=0,'Cost Calc'!AA$8,"")</f>
        <v/>
      </c>
      <c r="Z97" t="str">
        <f>IF(OR(Z26="A",Z26="X",Z26="a",Z26="x"),'Cost Calc'!AC$8,"")</f>
        <v/>
      </c>
      <c r="AA97" t="str">
        <f>IF(OR(Z26="B",Z26="b"),'Cost Calc'!AD$8,"")</f>
        <v/>
      </c>
      <c r="AB97" s="266">
        <f>IF(COUNTBLANK(C97:D97)&lt;2,IF(M97="N",'Cost Calc'!L$37,'Cost Calc'!L$38),0)</f>
        <v>0</v>
      </c>
      <c r="AC97">
        <f t="shared" si="82"/>
        <v>0</v>
      </c>
      <c r="AE97" s="27"/>
      <c r="AN97" s="1"/>
      <c r="AO97" s="1"/>
      <c r="AP97" s="1"/>
      <c r="AQ97" s="1"/>
      <c r="BD97" s="1"/>
      <c r="BE97" s="1"/>
    </row>
    <row r="98" spans="1:57" ht="13.5" hidden="1" x14ac:dyDescent="0.25">
      <c r="A98" s="252"/>
      <c r="C98" t="str">
        <f t="shared" ref="C98:D98" si="103">C68</f>
        <v/>
      </c>
      <c r="D98" t="str">
        <f t="shared" si="103"/>
        <v/>
      </c>
      <c r="E98" s="410" t="str">
        <f t="shared" si="84"/>
        <v/>
      </c>
      <c r="F98" s="410" t="str">
        <f t="shared" ref="F98:M98" si="104">IF(COUNTBLANK(F27)=0,F27,"")</f>
        <v/>
      </c>
      <c r="G98" s="410"/>
      <c r="H98" s="414" t="str">
        <f t="shared" si="104"/>
        <v/>
      </c>
      <c r="I98" s="410" t="str">
        <f t="shared" si="104"/>
        <v/>
      </c>
      <c r="J98" s="410" t="str">
        <f t="shared" si="104"/>
        <v/>
      </c>
      <c r="K98" s="410" t="str">
        <f t="shared" si="104"/>
        <v/>
      </c>
      <c r="L98" s="410" t="str">
        <f t="shared" si="104"/>
        <v/>
      </c>
      <c r="M98" s="410" t="str">
        <f t="shared" si="104"/>
        <v/>
      </c>
      <c r="N98" t="str">
        <f>IF(COUNTBLANK(N27)=0,'Cost Calc'!P$8,"")</f>
        <v/>
      </c>
      <c r="O98" t="str">
        <f>IF(COUNTBLANK(O27)=0,'Cost Calc'!Q$8,"")</f>
        <v/>
      </c>
      <c r="P98" t="str">
        <f>IF(COUNTBLANK(P27)=0,'Cost Calc'!R$8,"")</f>
        <v/>
      </c>
      <c r="Q98" t="str">
        <f>IF(COUNTBLANK(Q27)=0,'Cost Calc'!S$8,"")</f>
        <v/>
      </c>
      <c r="R98" t="str">
        <f>IF(COUNTBLANK(R27)=0,'Cost Calc'!T$8,"")</f>
        <v/>
      </c>
      <c r="S98" t="str">
        <f>IF(COUNTBLANK(S27)=0,'Cost Calc'!U$8,"")</f>
        <v/>
      </c>
      <c r="T98" t="str">
        <f>IF(COUNTBLANK(T27)=0,'Cost Calc'!V$8,"")</f>
        <v/>
      </c>
      <c r="U98" t="str">
        <f>IF(COUNTBLANK(U27)=0,'Cost Calc'!V$8,"")</f>
        <v/>
      </c>
      <c r="V98" t="str">
        <f t="shared" si="86"/>
        <v/>
      </c>
      <c r="W98" t="str">
        <f>IF(COUNTBLANK(W27)=0,'Cost Calc'!Y$8,"")</f>
        <v/>
      </c>
      <c r="X98" t="str">
        <f>IF(COUNTBLANK(X27)=0,'Cost Calc'!Y$8,"")</f>
        <v/>
      </c>
      <c r="Y98" t="str">
        <f>IF(COUNTBLANK(Y27)=0,'Cost Calc'!AA$8,"")</f>
        <v/>
      </c>
      <c r="Z98" t="str">
        <f>IF(OR(Z27="A",Z27="X",Z27="a",Z27="x"),'Cost Calc'!AC$8,"")</f>
        <v/>
      </c>
      <c r="AA98" t="str">
        <f>IF(OR(Z27="B",Z27="b"),'Cost Calc'!AD$8,"")</f>
        <v/>
      </c>
      <c r="AB98" s="266">
        <f>IF(COUNTBLANK(C98:D98)&lt;2,IF(M98="N",'Cost Calc'!L$37,'Cost Calc'!L$38),0)</f>
        <v>0</v>
      </c>
      <c r="AC98">
        <f t="shared" si="82"/>
        <v>0</v>
      </c>
      <c r="AE98" s="27"/>
      <c r="AN98" s="1"/>
      <c r="AO98" s="1"/>
      <c r="AP98" s="1"/>
      <c r="AQ98" s="1"/>
      <c r="BD98" s="1"/>
      <c r="BE98" s="1"/>
    </row>
    <row r="99" spans="1:57" ht="13.5" hidden="1" x14ac:dyDescent="0.25">
      <c r="A99" s="252"/>
      <c r="C99" t="str">
        <f t="shared" ref="C99:D99" si="105">C69</f>
        <v/>
      </c>
      <c r="D99" t="str">
        <f t="shared" si="105"/>
        <v/>
      </c>
      <c r="E99" s="410" t="str">
        <f t="shared" si="84"/>
        <v/>
      </c>
      <c r="F99" s="410" t="str">
        <f t="shared" ref="F99:M99" si="106">IF(COUNTBLANK(F28)=0,F28,"")</f>
        <v/>
      </c>
      <c r="G99" s="410"/>
      <c r="H99" s="414" t="str">
        <f t="shared" si="106"/>
        <v/>
      </c>
      <c r="I99" s="410" t="str">
        <f t="shared" si="106"/>
        <v/>
      </c>
      <c r="J99" s="410" t="str">
        <f t="shared" si="106"/>
        <v/>
      </c>
      <c r="K99" s="410" t="str">
        <f t="shared" si="106"/>
        <v/>
      </c>
      <c r="L99" s="410" t="str">
        <f t="shared" si="106"/>
        <v/>
      </c>
      <c r="M99" s="410" t="str">
        <f t="shared" si="106"/>
        <v/>
      </c>
      <c r="N99" t="str">
        <f>IF(COUNTBLANK(N28)=0,'Cost Calc'!P$8,"")</f>
        <v/>
      </c>
      <c r="O99" t="str">
        <f>IF(COUNTBLANK(O28)=0,'Cost Calc'!Q$8,"")</f>
        <v/>
      </c>
      <c r="P99" t="str">
        <f>IF(COUNTBLANK(P28)=0,'Cost Calc'!R$8,"")</f>
        <v/>
      </c>
      <c r="Q99" t="str">
        <f>IF(COUNTBLANK(Q28)=0,'Cost Calc'!S$8,"")</f>
        <v/>
      </c>
      <c r="R99" t="str">
        <f>IF(COUNTBLANK(R28)=0,'Cost Calc'!T$8,"")</f>
        <v/>
      </c>
      <c r="S99" t="str">
        <f>IF(COUNTBLANK(S28)=0,'Cost Calc'!U$8,"")</f>
        <v/>
      </c>
      <c r="T99" t="str">
        <f>IF(COUNTBLANK(T28)=0,'Cost Calc'!V$8,"")</f>
        <v/>
      </c>
      <c r="U99" t="str">
        <f>IF(COUNTBLANK(U28)=0,'Cost Calc'!V$8,"")</f>
        <v/>
      </c>
      <c r="V99" t="str">
        <f t="shared" si="86"/>
        <v/>
      </c>
      <c r="W99" t="str">
        <f>IF(COUNTBLANK(W28)=0,'Cost Calc'!Y$8,"")</f>
        <v/>
      </c>
      <c r="X99" t="str">
        <f>IF(COUNTBLANK(X28)=0,'Cost Calc'!Y$8,"")</f>
        <v/>
      </c>
      <c r="Y99" t="str">
        <f>IF(COUNTBLANK(Y28)=0,'Cost Calc'!AA$8,"")</f>
        <v/>
      </c>
      <c r="Z99" t="str">
        <f>IF(OR(Z28="A",Z28="X",Z28="a",Z28="x"),'Cost Calc'!AC$8,"")</f>
        <v/>
      </c>
      <c r="AA99" t="str">
        <f>IF(OR(Z28="B",Z28="b"),'Cost Calc'!AD$8,"")</f>
        <v/>
      </c>
      <c r="AB99" s="266">
        <f>IF(COUNTBLANK(C99:D99)&lt;2,IF(M99="N",'Cost Calc'!L$37,'Cost Calc'!L$38),0)</f>
        <v>0</v>
      </c>
      <c r="AC99">
        <f t="shared" si="82"/>
        <v>0</v>
      </c>
      <c r="AE99" s="27"/>
      <c r="AN99" s="1"/>
      <c r="AO99" s="1"/>
      <c r="AP99" s="1"/>
      <c r="AQ99" s="1"/>
      <c r="BD99" s="1"/>
      <c r="BE99" s="1"/>
    </row>
    <row r="100" spans="1:57" ht="13.5" hidden="1" x14ac:dyDescent="0.25">
      <c r="A100" s="252"/>
      <c r="C100" t="str">
        <f t="shared" ref="C100:D100" si="107">C70</f>
        <v/>
      </c>
      <c r="D100" t="str">
        <f t="shared" si="107"/>
        <v/>
      </c>
      <c r="E100" s="410" t="str">
        <f t="shared" si="84"/>
        <v/>
      </c>
      <c r="F100" s="410" t="str">
        <f t="shared" ref="F100:M100" si="108">IF(COUNTBLANK(F29)=0,F29,"")</f>
        <v/>
      </c>
      <c r="G100" s="410"/>
      <c r="H100" s="414" t="str">
        <f t="shared" si="108"/>
        <v/>
      </c>
      <c r="I100" s="410" t="str">
        <f t="shared" si="108"/>
        <v/>
      </c>
      <c r="J100" s="410" t="str">
        <f t="shared" si="108"/>
        <v/>
      </c>
      <c r="K100" s="410" t="str">
        <f t="shared" si="108"/>
        <v/>
      </c>
      <c r="L100" s="410" t="str">
        <f t="shared" si="108"/>
        <v/>
      </c>
      <c r="M100" s="410" t="str">
        <f t="shared" si="108"/>
        <v/>
      </c>
      <c r="N100" t="str">
        <f>IF(COUNTBLANK(N29)=0,'Cost Calc'!P$8,"")</f>
        <v/>
      </c>
      <c r="O100" t="str">
        <f>IF(COUNTBLANK(O29)=0,'Cost Calc'!Q$8,"")</f>
        <v/>
      </c>
      <c r="P100" t="str">
        <f>IF(COUNTBLANK(P29)=0,'Cost Calc'!R$8,"")</f>
        <v/>
      </c>
      <c r="Q100" t="str">
        <f>IF(COUNTBLANK(Q29)=0,'Cost Calc'!S$8,"")</f>
        <v/>
      </c>
      <c r="R100" t="str">
        <f>IF(COUNTBLANK(R29)=0,'Cost Calc'!T$8,"")</f>
        <v/>
      </c>
      <c r="S100" t="str">
        <f>IF(COUNTBLANK(S29)=0,'Cost Calc'!U$8,"")</f>
        <v/>
      </c>
      <c r="T100" t="str">
        <f>IF(COUNTBLANK(T29)=0,'Cost Calc'!V$8,"")</f>
        <v/>
      </c>
      <c r="U100" t="str">
        <f>IF(COUNTBLANK(U29)=0,'Cost Calc'!V$8,"")</f>
        <v/>
      </c>
      <c r="V100" t="str">
        <f t="shared" si="86"/>
        <v/>
      </c>
      <c r="W100" t="str">
        <f>IF(COUNTBLANK(W29)=0,'Cost Calc'!Y$8,"")</f>
        <v/>
      </c>
      <c r="X100" t="str">
        <f>IF(COUNTBLANK(X29)=0,'Cost Calc'!Y$8,"")</f>
        <v/>
      </c>
      <c r="Y100" t="str">
        <f>IF(COUNTBLANK(Y29)=0,'Cost Calc'!AA$8,"")</f>
        <v/>
      </c>
      <c r="Z100" t="str">
        <f>IF(OR(Z29="A",Z29="X",Z29="a",Z29="x"),'Cost Calc'!AC$8,"")</f>
        <v/>
      </c>
      <c r="AA100" t="str">
        <f>IF(OR(Z29="B",Z29="b"),'Cost Calc'!AD$8,"")</f>
        <v/>
      </c>
      <c r="AB100" s="266">
        <f>IF(COUNTBLANK(C100:D100)&lt;2,IF(M100="N",'Cost Calc'!L$37,'Cost Calc'!L$38),0)</f>
        <v>0</v>
      </c>
      <c r="AC100">
        <f t="shared" si="82"/>
        <v>0</v>
      </c>
      <c r="AE100" s="27"/>
      <c r="AN100" s="1"/>
      <c r="AO100" s="1"/>
      <c r="AP100" s="1"/>
      <c r="AQ100" s="1"/>
      <c r="BD100" s="1"/>
      <c r="BE100" s="1"/>
    </row>
    <row r="101" spans="1:57" ht="13.5" hidden="1" x14ac:dyDescent="0.25">
      <c r="A101" s="252"/>
      <c r="C101" t="str">
        <f t="shared" ref="C101:D101" si="109">C71</f>
        <v/>
      </c>
      <c r="D101" t="str">
        <f t="shared" si="109"/>
        <v/>
      </c>
      <c r="E101" s="410" t="str">
        <f t="shared" si="84"/>
        <v/>
      </c>
      <c r="F101" s="410" t="str">
        <f t="shared" ref="F101:M101" si="110">IF(COUNTBLANK(F30)=0,F30,"")</f>
        <v/>
      </c>
      <c r="G101" s="410"/>
      <c r="H101" s="414" t="str">
        <f t="shared" si="110"/>
        <v/>
      </c>
      <c r="I101" s="410" t="str">
        <f t="shared" si="110"/>
        <v/>
      </c>
      <c r="J101" s="410" t="str">
        <f t="shared" si="110"/>
        <v/>
      </c>
      <c r="K101" s="410" t="str">
        <f t="shared" si="110"/>
        <v/>
      </c>
      <c r="L101" s="410" t="str">
        <f t="shared" si="110"/>
        <v/>
      </c>
      <c r="M101" s="410" t="str">
        <f t="shared" si="110"/>
        <v/>
      </c>
      <c r="N101" t="str">
        <f>IF(COUNTBLANK(N30)=0,'Cost Calc'!P$8,"")</f>
        <v/>
      </c>
      <c r="O101" t="str">
        <f>IF(COUNTBLANK(O30)=0,'Cost Calc'!Q$8,"")</f>
        <v/>
      </c>
      <c r="P101" t="str">
        <f>IF(COUNTBLANK(P30)=0,'Cost Calc'!R$8,"")</f>
        <v/>
      </c>
      <c r="Q101" t="str">
        <f>IF(COUNTBLANK(Q30)=0,'Cost Calc'!S$8,"")</f>
        <v/>
      </c>
      <c r="R101" t="str">
        <f>IF(COUNTBLANK(R30)=0,'Cost Calc'!T$8,"")</f>
        <v/>
      </c>
      <c r="S101" t="str">
        <f>IF(COUNTBLANK(S30)=0,'Cost Calc'!U$8,"")</f>
        <v/>
      </c>
      <c r="T101" t="str">
        <f>IF(COUNTBLANK(T30)=0,'Cost Calc'!V$8,"")</f>
        <v/>
      </c>
      <c r="U101" t="str">
        <f>IF(COUNTBLANK(U30)=0,'Cost Calc'!V$8,"")</f>
        <v/>
      </c>
      <c r="V101" t="str">
        <f t="shared" si="86"/>
        <v/>
      </c>
      <c r="W101" t="str">
        <f>IF(COUNTBLANK(W30)=0,'Cost Calc'!Y$8,"")</f>
        <v/>
      </c>
      <c r="X101" t="str">
        <f>IF(COUNTBLANK(X30)=0,'Cost Calc'!Y$8,"")</f>
        <v/>
      </c>
      <c r="Y101" t="str">
        <f>IF(COUNTBLANK(Y30)=0,'Cost Calc'!AA$8,"")</f>
        <v/>
      </c>
      <c r="Z101" t="str">
        <f>IF(OR(Z30="A",Z30="X",Z30="a",Z30="x"),'Cost Calc'!AC$8,"")</f>
        <v/>
      </c>
      <c r="AA101" t="str">
        <f>IF(OR(Z30="B",Z30="b"),'Cost Calc'!AD$8,"")</f>
        <v/>
      </c>
      <c r="AB101" s="266">
        <f>IF(COUNTBLANK(C101:D101)&lt;2,IF(M101="N",'Cost Calc'!L$37,'Cost Calc'!L$38),0)</f>
        <v>0</v>
      </c>
      <c r="AC101">
        <f t="shared" si="82"/>
        <v>0</v>
      </c>
      <c r="AE101" s="27"/>
      <c r="AN101" s="1"/>
      <c r="AO101" s="1"/>
      <c r="AP101" s="1"/>
      <c r="AQ101" s="1"/>
      <c r="BD101" s="1"/>
      <c r="BE101" s="1"/>
    </row>
    <row r="102" spans="1:57" ht="13.5" hidden="1" x14ac:dyDescent="0.25">
      <c r="A102" s="252"/>
      <c r="C102" t="str">
        <f t="shared" ref="C102:D102" si="111">C72</f>
        <v/>
      </c>
      <c r="D102" t="str">
        <f t="shared" si="111"/>
        <v/>
      </c>
      <c r="E102" s="410" t="str">
        <f t="shared" si="84"/>
        <v/>
      </c>
      <c r="F102" s="410" t="str">
        <f t="shared" ref="F102:M102" si="112">IF(COUNTBLANK(F31)=0,F31,"")</f>
        <v/>
      </c>
      <c r="G102" s="410"/>
      <c r="H102" s="414" t="str">
        <f t="shared" si="112"/>
        <v/>
      </c>
      <c r="I102" s="410" t="str">
        <f t="shared" si="112"/>
        <v/>
      </c>
      <c r="J102" s="410" t="str">
        <f t="shared" si="112"/>
        <v/>
      </c>
      <c r="K102" s="410" t="str">
        <f t="shared" si="112"/>
        <v/>
      </c>
      <c r="L102" s="410" t="str">
        <f t="shared" si="112"/>
        <v/>
      </c>
      <c r="M102" s="410" t="str">
        <f t="shared" si="112"/>
        <v/>
      </c>
      <c r="N102" t="str">
        <f>IF(COUNTBLANK(N31)=0,'Cost Calc'!P$8,"")</f>
        <v/>
      </c>
      <c r="O102" t="str">
        <f>IF(COUNTBLANK(O31)=0,'Cost Calc'!Q$8,"")</f>
        <v/>
      </c>
      <c r="P102" t="str">
        <f>IF(COUNTBLANK(P31)=0,'Cost Calc'!R$8,"")</f>
        <v/>
      </c>
      <c r="Q102" t="str">
        <f>IF(COUNTBLANK(Q31)=0,'Cost Calc'!S$8,"")</f>
        <v/>
      </c>
      <c r="R102" t="str">
        <f>IF(COUNTBLANK(R31)=0,'Cost Calc'!T$8,"")</f>
        <v/>
      </c>
      <c r="S102" t="str">
        <f>IF(COUNTBLANK(S31)=0,'Cost Calc'!U$8,"")</f>
        <v/>
      </c>
      <c r="T102" t="str">
        <f>IF(COUNTBLANK(T31)=0,'Cost Calc'!V$8,"")</f>
        <v/>
      </c>
      <c r="U102" t="str">
        <f>IF(COUNTBLANK(U31)=0,'Cost Calc'!V$8,"")</f>
        <v/>
      </c>
      <c r="V102" t="str">
        <f t="shared" si="86"/>
        <v/>
      </c>
      <c r="W102" t="str">
        <f>IF(COUNTBLANK(W31)=0,'Cost Calc'!Y$8,"")</f>
        <v/>
      </c>
      <c r="X102" t="str">
        <f>IF(COUNTBLANK(X31)=0,'Cost Calc'!Y$8,"")</f>
        <v/>
      </c>
      <c r="Y102" t="str">
        <f>IF(COUNTBLANK(Y31)=0,'Cost Calc'!AA$8,"")</f>
        <v/>
      </c>
      <c r="Z102" t="str">
        <f>IF(OR(Z31="A",Z31="X",Z31="a",Z31="x"),'Cost Calc'!AC$8,"")</f>
        <v/>
      </c>
      <c r="AA102" t="str">
        <f>IF(OR(Z31="B",Z31="b"),'Cost Calc'!AD$8,"")</f>
        <v/>
      </c>
      <c r="AB102" s="266">
        <f>IF(COUNTBLANK(C102:D102)&lt;2,IF(M102="N",'Cost Calc'!L$37,'Cost Calc'!L$38),0)</f>
        <v>0</v>
      </c>
      <c r="AC102">
        <f t="shared" si="82"/>
        <v>0</v>
      </c>
      <c r="AE102" s="27"/>
      <c r="AN102" s="1"/>
      <c r="AO102" s="1"/>
      <c r="AP102" s="1"/>
      <c r="AQ102" s="1"/>
      <c r="BD102" s="1"/>
      <c r="BE102" s="1"/>
    </row>
    <row r="103" spans="1:57" ht="13.5" hidden="1" x14ac:dyDescent="0.25">
      <c r="A103" s="252"/>
      <c r="C103" t="str">
        <f t="shared" ref="C103:D103" si="113">C73</f>
        <v/>
      </c>
      <c r="D103" t="str">
        <f t="shared" si="113"/>
        <v/>
      </c>
      <c r="E103" s="410" t="str">
        <f t="shared" si="84"/>
        <v/>
      </c>
      <c r="F103" s="410" t="str">
        <f t="shared" ref="F103:M103" si="114">IF(COUNTBLANK(F32)=0,F32,"")</f>
        <v/>
      </c>
      <c r="G103" s="410"/>
      <c r="H103" s="414" t="str">
        <f t="shared" si="114"/>
        <v/>
      </c>
      <c r="I103" s="410" t="str">
        <f t="shared" si="114"/>
        <v/>
      </c>
      <c r="J103" s="410" t="str">
        <f t="shared" si="114"/>
        <v/>
      </c>
      <c r="K103" s="410" t="str">
        <f t="shared" si="114"/>
        <v/>
      </c>
      <c r="L103" s="410" t="str">
        <f t="shared" si="114"/>
        <v/>
      </c>
      <c r="M103" s="410" t="str">
        <f t="shared" si="114"/>
        <v/>
      </c>
      <c r="N103" t="str">
        <f>IF(COUNTBLANK(N32)=0,'Cost Calc'!P$8,"")</f>
        <v/>
      </c>
      <c r="O103" t="str">
        <f>IF(COUNTBLANK(O32)=0,'Cost Calc'!Q$8,"")</f>
        <v/>
      </c>
      <c r="P103" t="str">
        <f>IF(COUNTBLANK(P32)=0,'Cost Calc'!R$8,"")</f>
        <v/>
      </c>
      <c r="Q103" t="str">
        <f>IF(COUNTBLANK(Q32)=0,'Cost Calc'!S$8,"")</f>
        <v/>
      </c>
      <c r="R103" t="str">
        <f>IF(COUNTBLANK(R32)=0,'Cost Calc'!T$8,"")</f>
        <v/>
      </c>
      <c r="S103" t="str">
        <f>IF(COUNTBLANK(S32)=0,'Cost Calc'!U$8,"")</f>
        <v/>
      </c>
      <c r="T103" t="str">
        <f>IF(COUNTBLANK(T32)=0,'Cost Calc'!V$8,"")</f>
        <v/>
      </c>
      <c r="U103" t="str">
        <f>IF(COUNTBLANK(U32)=0,'Cost Calc'!V$8,"")</f>
        <v/>
      </c>
      <c r="V103" t="str">
        <f t="shared" si="86"/>
        <v/>
      </c>
      <c r="W103" t="str">
        <f>IF(COUNTBLANK(W32)=0,'Cost Calc'!Y$8,"")</f>
        <v/>
      </c>
      <c r="X103" t="str">
        <f>IF(COUNTBLANK(X32)=0,'Cost Calc'!Y$8,"")</f>
        <v/>
      </c>
      <c r="Y103" t="str">
        <f>IF(COUNTBLANK(Y32)=0,'Cost Calc'!AA$8,"")</f>
        <v/>
      </c>
      <c r="Z103" t="str">
        <f>IF(OR(Z32="A",Z32="X",Z32="a",Z32="x"),'Cost Calc'!AC$8,"")</f>
        <v/>
      </c>
      <c r="AA103" t="str">
        <f>IF(OR(Z32="B",Z32="b"),'Cost Calc'!AD$8,"")</f>
        <v/>
      </c>
      <c r="AB103" s="266">
        <f>IF(COUNTBLANK(C103:D103)&lt;2,IF(M103="N",'Cost Calc'!L$37,'Cost Calc'!L$38),0)</f>
        <v>0</v>
      </c>
      <c r="AC103">
        <f t="shared" si="82"/>
        <v>0</v>
      </c>
      <c r="AE103" s="27"/>
      <c r="AN103" s="1"/>
      <c r="AO103" s="1"/>
      <c r="AP103" s="1"/>
      <c r="AQ103" s="1"/>
      <c r="BD103" s="1"/>
      <c r="BE103" s="1"/>
    </row>
    <row r="104" spans="1:57" ht="13.5" hidden="1" x14ac:dyDescent="0.25">
      <c r="A104" s="252"/>
      <c r="C104" t="str">
        <f t="shared" ref="C104:D104" si="115">C74</f>
        <v/>
      </c>
      <c r="D104" t="str">
        <f t="shared" si="115"/>
        <v/>
      </c>
      <c r="E104" s="410" t="str">
        <f t="shared" si="84"/>
        <v/>
      </c>
      <c r="F104" s="410" t="str">
        <f t="shared" ref="F104:M104" si="116">IF(COUNTBLANK(F33)=0,F33,"")</f>
        <v/>
      </c>
      <c r="G104" s="410"/>
      <c r="H104" s="414" t="str">
        <f t="shared" si="116"/>
        <v/>
      </c>
      <c r="I104" s="410" t="str">
        <f t="shared" si="116"/>
        <v/>
      </c>
      <c r="J104" s="410" t="str">
        <f t="shared" si="116"/>
        <v/>
      </c>
      <c r="K104" s="410" t="str">
        <f t="shared" si="116"/>
        <v/>
      </c>
      <c r="L104" s="410" t="str">
        <f t="shared" si="116"/>
        <v/>
      </c>
      <c r="M104" s="410" t="str">
        <f t="shared" si="116"/>
        <v/>
      </c>
      <c r="N104" t="str">
        <f>IF(COUNTBLANK(N33)=0,'Cost Calc'!P$8,"")</f>
        <v/>
      </c>
      <c r="O104" t="str">
        <f>IF(COUNTBLANK(O33)=0,'Cost Calc'!Q$8,"")</f>
        <v/>
      </c>
      <c r="P104" t="str">
        <f>IF(COUNTBLANK(P33)=0,'Cost Calc'!R$8,"")</f>
        <v/>
      </c>
      <c r="Q104" t="str">
        <f>IF(COUNTBLANK(Q33)=0,'Cost Calc'!S$8,"")</f>
        <v/>
      </c>
      <c r="R104" t="str">
        <f>IF(COUNTBLANK(R33)=0,'Cost Calc'!T$8,"")</f>
        <v/>
      </c>
      <c r="S104" t="str">
        <f>IF(COUNTBLANK(S33)=0,'Cost Calc'!U$8,"")</f>
        <v/>
      </c>
      <c r="T104" t="str">
        <f>IF(COUNTBLANK(T33)=0,'Cost Calc'!V$8,"")</f>
        <v/>
      </c>
      <c r="U104" t="str">
        <f>IF(COUNTBLANK(U33)=0,'Cost Calc'!V$8,"")</f>
        <v/>
      </c>
      <c r="V104" t="str">
        <f t="shared" si="86"/>
        <v/>
      </c>
      <c r="W104" t="str">
        <f>IF(COUNTBLANK(W33)=0,'Cost Calc'!Y$8,"")</f>
        <v/>
      </c>
      <c r="X104" t="str">
        <f>IF(COUNTBLANK(X33)=0,'Cost Calc'!Y$8,"")</f>
        <v/>
      </c>
      <c r="Y104" t="str">
        <f>IF(COUNTBLANK(Y33)=0,'Cost Calc'!AA$8,"")</f>
        <v/>
      </c>
      <c r="Z104" t="str">
        <f>IF(OR(Z33="A",Z33="X",Z33="a",Z33="x"),'Cost Calc'!AC$8,"")</f>
        <v/>
      </c>
      <c r="AA104" t="str">
        <f>IF(OR(Z33="B",Z33="b"),'Cost Calc'!AD$8,"")</f>
        <v/>
      </c>
      <c r="AB104" s="266">
        <f>IF(COUNTBLANK(C104:D104)&lt;2,IF(M104="N",'Cost Calc'!L$37,'Cost Calc'!L$38),0)</f>
        <v>0</v>
      </c>
      <c r="AC104">
        <f t="shared" si="82"/>
        <v>0</v>
      </c>
      <c r="AE104" s="27"/>
      <c r="AN104" s="1"/>
      <c r="AO104" s="1"/>
      <c r="AP104" s="1"/>
      <c r="AQ104" s="1"/>
      <c r="BD104" s="1"/>
      <c r="BE104" s="1"/>
    </row>
    <row r="105" spans="1:57" ht="13.5" hidden="1" x14ac:dyDescent="0.25">
      <c r="A105" s="252"/>
      <c r="C105" t="str">
        <f t="shared" ref="C105:D105" si="117">C75</f>
        <v/>
      </c>
      <c r="D105" t="str">
        <f t="shared" si="117"/>
        <v/>
      </c>
      <c r="E105" s="410" t="str">
        <f t="shared" si="84"/>
        <v/>
      </c>
      <c r="F105" s="410" t="str">
        <f t="shared" ref="F105:M105" si="118">IF(COUNTBLANK(F34)=0,F34,"")</f>
        <v/>
      </c>
      <c r="G105" s="410"/>
      <c r="H105" s="414" t="str">
        <f t="shared" si="118"/>
        <v/>
      </c>
      <c r="I105" s="410" t="str">
        <f t="shared" si="118"/>
        <v/>
      </c>
      <c r="J105" s="410" t="str">
        <f t="shared" si="118"/>
        <v/>
      </c>
      <c r="K105" s="410" t="str">
        <f t="shared" si="118"/>
        <v/>
      </c>
      <c r="L105" s="410" t="str">
        <f t="shared" si="118"/>
        <v/>
      </c>
      <c r="M105" s="410" t="str">
        <f t="shared" si="118"/>
        <v/>
      </c>
      <c r="N105" t="str">
        <f>IF(COUNTBLANK(N34)=0,'Cost Calc'!P$8,"")</f>
        <v/>
      </c>
      <c r="O105" t="str">
        <f>IF(COUNTBLANK(O34)=0,'Cost Calc'!Q$8,"")</f>
        <v/>
      </c>
      <c r="P105" t="str">
        <f>IF(COUNTBLANK(P34)=0,'Cost Calc'!R$8,"")</f>
        <v/>
      </c>
      <c r="Q105" t="str">
        <f>IF(COUNTBLANK(Q34)=0,'Cost Calc'!S$8,"")</f>
        <v/>
      </c>
      <c r="R105" t="str">
        <f>IF(COUNTBLANK(R34)=0,'Cost Calc'!T$8,"")</f>
        <v/>
      </c>
      <c r="S105" t="str">
        <f>IF(COUNTBLANK(S34)=0,'Cost Calc'!U$8,"")</f>
        <v/>
      </c>
      <c r="T105" t="str">
        <f>IF(COUNTBLANK(T34)=0,'Cost Calc'!V$8,"")</f>
        <v/>
      </c>
      <c r="U105" t="str">
        <f>IF(COUNTBLANK(U34)=0,'Cost Calc'!V$8,"")</f>
        <v/>
      </c>
      <c r="V105" t="str">
        <f t="shared" si="86"/>
        <v/>
      </c>
      <c r="W105" t="str">
        <f>IF(COUNTBLANK(W34)=0,'Cost Calc'!Y$8,"")</f>
        <v/>
      </c>
      <c r="X105" t="str">
        <f>IF(COUNTBLANK(X34)=0,'Cost Calc'!Y$8,"")</f>
        <v/>
      </c>
      <c r="Y105" t="str">
        <f>IF(COUNTBLANK(Y34)=0,'Cost Calc'!AA$8,"")</f>
        <v/>
      </c>
      <c r="Z105" t="str">
        <f>IF(OR(Z34="A",Z34="X",Z34="a",Z34="x"),'Cost Calc'!AC$8,"")</f>
        <v/>
      </c>
      <c r="AA105" t="str">
        <f>IF(OR(Z34="B",Z34="b"),'Cost Calc'!AD$8,"")</f>
        <v/>
      </c>
      <c r="AB105" s="266">
        <f>IF(COUNTBLANK(C105:D105)&lt;2,IF(M105="N",'Cost Calc'!L$37,'Cost Calc'!L$38),0)</f>
        <v>0</v>
      </c>
      <c r="AC105">
        <f t="shared" si="82"/>
        <v>0</v>
      </c>
      <c r="AE105" s="27"/>
      <c r="AN105" s="1"/>
      <c r="AO105" s="1"/>
      <c r="AP105" s="1"/>
      <c r="AQ105" s="1"/>
      <c r="BD105" s="1"/>
      <c r="BE105" s="1"/>
    </row>
    <row r="106" spans="1:57" ht="13.5" hidden="1" x14ac:dyDescent="0.25">
      <c r="A106" s="252"/>
      <c r="C106" t="str">
        <f t="shared" ref="C106:D106" si="119">C76</f>
        <v/>
      </c>
      <c r="D106" t="str">
        <f t="shared" si="119"/>
        <v/>
      </c>
      <c r="E106" s="410" t="str">
        <f t="shared" si="84"/>
        <v/>
      </c>
      <c r="F106" s="410" t="str">
        <f t="shared" ref="F106:M106" si="120">IF(COUNTBLANK(F35)=0,F35,"")</f>
        <v/>
      </c>
      <c r="G106" s="410"/>
      <c r="H106" s="414" t="str">
        <f t="shared" si="120"/>
        <v/>
      </c>
      <c r="I106" s="410" t="str">
        <f t="shared" si="120"/>
        <v/>
      </c>
      <c r="J106" s="410" t="str">
        <f t="shared" si="120"/>
        <v/>
      </c>
      <c r="K106" s="410" t="str">
        <f t="shared" si="120"/>
        <v/>
      </c>
      <c r="L106" s="410" t="str">
        <f t="shared" si="120"/>
        <v/>
      </c>
      <c r="M106" s="410" t="str">
        <f t="shared" si="120"/>
        <v/>
      </c>
      <c r="N106" t="str">
        <f>IF(COUNTBLANK(N35)=0,'Cost Calc'!P$8,"")</f>
        <v/>
      </c>
      <c r="O106" t="str">
        <f>IF(COUNTBLANK(O35)=0,'Cost Calc'!Q$8,"")</f>
        <v/>
      </c>
      <c r="P106" t="str">
        <f>IF(COUNTBLANK(P35)=0,'Cost Calc'!R$8,"")</f>
        <v/>
      </c>
      <c r="Q106" t="str">
        <f>IF(COUNTBLANK(Q35)=0,'Cost Calc'!S$8,"")</f>
        <v/>
      </c>
      <c r="R106" t="str">
        <f>IF(COUNTBLANK(R35)=0,'Cost Calc'!T$8,"")</f>
        <v/>
      </c>
      <c r="S106" t="str">
        <f>IF(COUNTBLANK(S35)=0,'Cost Calc'!U$8,"")</f>
        <v/>
      </c>
      <c r="T106" t="str">
        <f>IF(COUNTBLANK(T35)=0,'Cost Calc'!V$8,"")</f>
        <v/>
      </c>
      <c r="U106" t="str">
        <f>IF(COUNTBLANK(U35)=0,'Cost Calc'!V$8,"")</f>
        <v/>
      </c>
      <c r="V106" t="str">
        <f t="shared" si="86"/>
        <v/>
      </c>
      <c r="W106" t="str">
        <f>IF(COUNTBLANK(W35)=0,'Cost Calc'!Y$8,"")</f>
        <v/>
      </c>
      <c r="X106" t="str">
        <f>IF(COUNTBLANK(X35)=0,'Cost Calc'!Y$8,"")</f>
        <v/>
      </c>
      <c r="Y106" t="str">
        <f>IF(COUNTBLANK(Y35)=0,'Cost Calc'!AA$8,"")</f>
        <v/>
      </c>
      <c r="Z106" t="str">
        <f>IF(OR(Z35="A",Z35="X",Z35="a",Z35="x"),'Cost Calc'!AC$8,"")</f>
        <v/>
      </c>
      <c r="AA106" t="str">
        <f>IF(OR(Z35="B",Z35="b"),'Cost Calc'!AD$8,"")</f>
        <v/>
      </c>
      <c r="AB106" s="266">
        <f>IF(COUNTBLANK(C106:D106)&lt;2,IF(M106="N",'Cost Calc'!L$37,'Cost Calc'!L$38),0)</f>
        <v>0</v>
      </c>
      <c r="AC106">
        <f t="shared" si="82"/>
        <v>0</v>
      </c>
      <c r="AE106" s="27"/>
      <c r="AN106" s="1"/>
      <c r="AO106" s="1"/>
      <c r="AP106" s="1"/>
      <c r="AQ106" s="1"/>
      <c r="BD106" s="1"/>
      <c r="BE106" s="1"/>
    </row>
    <row r="107" spans="1:57" ht="13.5" hidden="1" x14ac:dyDescent="0.25">
      <c r="A107" s="252"/>
      <c r="C107" t="str">
        <f t="shared" ref="C107:D107" si="121">C77</f>
        <v/>
      </c>
      <c r="D107" t="str">
        <f t="shared" si="121"/>
        <v/>
      </c>
      <c r="E107" s="410" t="str">
        <f t="shared" si="84"/>
        <v/>
      </c>
      <c r="F107" s="410" t="str">
        <f t="shared" ref="F107:M107" si="122">IF(COUNTBLANK(F36)=0,F36,"")</f>
        <v/>
      </c>
      <c r="G107" s="410"/>
      <c r="H107" s="414" t="str">
        <f t="shared" si="122"/>
        <v/>
      </c>
      <c r="I107" s="410" t="str">
        <f t="shared" si="122"/>
        <v/>
      </c>
      <c r="J107" s="410" t="str">
        <f t="shared" si="122"/>
        <v/>
      </c>
      <c r="K107" s="410" t="str">
        <f t="shared" si="122"/>
        <v/>
      </c>
      <c r="L107" s="410" t="str">
        <f t="shared" si="122"/>
        <v/>
      </c>
      <c r="M107" s="410" t="str">
        <f t="shared" si="122"/>
        <v/>
      </c>
      <c r="N107" t="str">
        <f>IF(COUNTBLANK(N36)=0,'Cost Calc'!P$8,"")</f>
        <v/>
      </c>
      <c r="O107" t="str">
        <f>IF(COUNTBLANK(O36)=0,'Cost Calc'!Q$8,"")</f>
        <v/>
      </c>
      <c r="P107" t="str">
        <f>IF(COUNTBLANK(P36)=0,'Cost Calc'!R$8,"")</f>
        <v/>
      </c>
      <c r="Q107" t="str">
        <f>IF(COUNTBLANK(Q36)=0,'Cost Calc'!S$8,"")</f>
        <v/>
      </c>
      <c r="R107" t="str">
        <f>IF(COUNTBLANK(R36)=0,'Cost Calc'!T$8,"")</f>
        <v/>
      </c>
      <c r="S107" t="str">
        <f>IF(COUNTBLANK(S36)=0,'Cost Calc'!U$8,"")</f>
        <v/>
      </c>
      <c r="T107" t="str">
        <f>IF(COUNTBLANK(T36)=0,'Cost Calc'!V$8,"")</f>
        <v/>
      </c>
      <c r="U107" t="str">
        <f>IF(COUNTBLANK(U36)=0,'Cost Calc'!V$8,"")</f>
        <v/>
      </c>
      <c r="V107" t="str">
        <f t="shared" si="86"/>
        <v/>
      </c>
      <c r="W107" t="str">
        <f>IF(COUNTBLANK(W36)=0,'Cost Calc'!Y$8,"")</f>
        <v/>
      </c>
      <c r="X107" t="str">
        <f>IF(COUNTBLANK(X36)=0,'Cost Calc'!Y$8,"")</f>
        <v/>
      </c>
      <c r="Y107" t="str">
        <f>IF(COUNTBLANK(Y36)=0,'Cost Calc'!AA$8,"")</f>
        <v/>
      </c>
      <c r="Z107" t="str">
        <f>IF(OR(Z36="A",Z36="X",Z36="a",Z36="x"),'Cost Calc'!AC$8,"")</f>
        <v/>
      </c>
      <c r="AA107" t="str">
        <f>IF(OR(Z36="B",Z36="b"),'Cost Calc'!AD$8,"")</f>
        <v/>
      </c>
      <c r="AB107" s="266">
        <f>IF(COUNTBLANK(C107:D107)&lt;2,IF(M107="N",'Cost Calc'!L$37,'Cost Calc'!L$38),0)</f>
        <v>0</v>
      </c>
      <c r="AC107">
        <f t="shared" si="82"/>
        <v>0</v>
      </c>
      <c r="AE107" s="27"/>
      <c r="AN107" s="1"/>
      <c r="AO107" s="1"/>
      <c r="AP107" s="1"/>
      <c r="AQ107" s="1"/>
      <c r="BD107" s="1"/>
      <c r="BE107" s="1"/>
    </row>
    <row r="108" spans="1:57" ht="13.5" hidden="1" x14ac:dyDescent="0.25">
      <c r="A108" s="252"/>
      <c r="C108" t="str">
        <f t="shared" ref="C108:D108" si="123">C78</f>
        <v/>
      </c>
      <c r="D108" t="str">
        <f t="shared" si="123"/>
        <v/>
      </c>
      <c r="E108" s="410" t="str">
        <f t="shared" si="84"/>
        <v/>
      </c>
      <c r="F108" s="410" t="str">
        <f t="shared" ref="F108:M108" si="124">IF(COUNTBLANK(F37)=0,F37,"")</f>
        <v/>
      </c>
      <c r="G108" s="410"/>
      <c r="H108" s="414" t="str">
        <f t="shared" si="124"/>
        <v/>
      </c>
      <c r="I108" s="410" t="str">
        <f t="shared" si="124"/>
        <v/>
      </c>
      <c r="J108" s="410" t="str">
        <f t="shared" si="124"/>
        <v/>
      </c>
      <c r="K108" s="410" t="str">
        <f t="shared" si="124"/>
        <v/>
      </c>
      <c r="L108" s="410" t="str">
        <f t="shared" si="124"/>
        <v/>
      </c>
      <c r="M108" s="410" t="str">
        <f t="shared" si="124"/>
        <v/>
      </c>
      <c r="N108" t="str">
        <f>IF(COUNTBLANK(N37)=0,'Cost Calc'!P$8,"")</f>
        <v/>
      </c>
      <c r="O108" t="str">
        <f>IF(COUNTBLANK(O37)=0,'Cost Calc'!Q$8,"")</f>
        <v/>
      </c>
      <c r="P108" t="str">
        <f>IF(COUNTBLANK(P37)=0,'Cost Calc'!R$8,"")</f>
        <v/>
      </c>
      <c r="Q108" t="str">
        <f>IF(COUNTBLANK(Q37)=0,'Cost Calc'!S$8,"")</f>
        <v/>
      </c>
      <c r="R108" t="str">
        <f>IF(COUNTBLANK(R37)=0,'Cost Calc'!T$8,"")</f>
        <v/>
      </c>
      <c r="S108" t="str">
        <f>IF(COUNTBLANK(S37)=0,'Cost Calc'!U$8,"")</f>
        <v/>
      </c>
      <c r="T108" t="str">
        <f>IF(COUNTBLANK(T37)=0,'Cost Calc'!V$8,"")</f>
        <v/>
      </c>
      <c r="U108" t="str">
        <f>IF(COUNTBLANK(U37)=0,'Cost Calc'!V$8,"")</f>
        <v/>
      </c>
      <c r="V108" t="str">
        <f t="shared" si="86"/>
        <v/>
      </c>
      <c r="W108" t="str">
        <f>IF(COUNTBLANK(W37)=0,'Cost Calc'!Y$8,"")</f>
        <v/>
      </c>
      <c r="X108" t="str">
        <f>IF(COUNTBLANK(X37)=0,'Cost Calc'!Y$8,"")</f>
        <v/>
      </c>
      <c r="Y108" t="str">
        <f>IF(COUNTBLANK(Y37)=0,'Cost Calc'!AA$8,"")</f>
        <v/>
      </c>
      <c r="Z108" t="str">
        <f>IF(OR(Z37="A",Z37="X",Z37="a",Z37="x"),'Cost Calc'!AC$8,"")</f>
        <v/>
      </c>
      <c r="AA108" t="str">
        <f>IF(OR(Z37="B",Z37="b"),'Cost Calc'!AD$8,"")</f>
        <v/>
      </c>
      <c r="AB108" s="266">
        <f>IF(COUNTBLANK(C108:D108)&lt;2,IF(M108="N",'Cost Calc'!L$37,'Cost Calc'!L$38),0)</f>
        <v>0</v>
      </c>
      <c r="AC108">
        <f t="shared" si="82"/>
        <v>0</v>
      </c>
      <c r="AE108" s="27"/>
      <c r="AN108" s="1"/>
      <c r="AO108" s="1"/>
      <c r="AP108" s="1"/>
      <c r="AQ108" s="1"/>
      <c r="BD108" s="1"/>
      <c r="BE108" s="1"/>
    </row>
    <row r="109" spans="1:57" ht="13.5" hidden="1" x14ac:dyDescent="0.25">
      <c r="A109" s="252"/>
      <c r="C109" t="str">
        <f t="shared" ref="C109:D109" si="125">C79</f>
        <v/>
      </c>
      <c r="D109" t="str">
        <f t="shared" si="125"/>
        <v/>
      </c>
      <c r="E109" s="410" t="str">
        <f t="shared" si="84"/>
        <v/>
      </c>
      <c r="F109" s="410" t="str">
        <f t="shared" ref="F109:M109" si="126">IF(COUNTBLANK(F38)=0,F38,"")</f>
        <v/>
      </c>
      <c r="G109" s="410"/>
      <c r="H109" s="414" t="str">
        <f t="shared" si="126"/>
        <v/>
      </c>
      <c r="I109" s="410" t="str">
        <f t="shared" si="126"/>
        <v/>
      </c>
      <c r="J109" s="410" t="str">
        <f t="shared" si="126"/>
        <v/>
      </c>
      <c r="K109" s="410" t="str">
        <f t="shared" si="126"/>
        <v/>
      </c>
      <c r="L109" s="410" t="str">
        <f t="shared" si="126"/>
        <v/>
      </c>
      <c r="M109" s="410" t="str">
        <f t="shared" si="126"/>
        <v/>
      </c>
      <c r="N109" t="str">
        <f>IF(COUNTBLANK(N38)=0,'Cost Calc'!P$8,"")</f>
        <v/>
      </c>
      <c r="O109" t="str">
        <f>IF(COUNTBLANK(O38)=0,'Cost Calc'!Q$8,"")</f>
        <v/>
      </c>
      <c r="P109" t="str">
        <f>IF(COUNTBLANK(P38)=0,'Cost Calc'!R$8,"")</f>
        <v/>
      </c>
      <c r="Q109" t="str">
        <f>IF(COUNTBLANK(Q38)=0,'Cost Calc'!S$8,"")</f>
        <v/>
      </c>
      <c r="R109" t="str">
        <f>IF(COUNTBLANK(R38)=0,'Cost Calc'!T$8,"")</f>
        <v/>
      </c>
      <c r="S109" t="str">
        <f>IF(COUNTBLANK(S38)=0,'Cost Calc'!U$8,"")</f>
        <v/>
      </c>
      <c r="T109" t="str">
        <f>IF(COUNTBLANK(T38)=0,'Cost Calc'!V$8,"")</f>
        <v/>
      </c>
      <c r="U109" t="str">
        <f>IF(COUNTBLANK(U38)=0,'Cost Calc'!V$8,"")</f>
        <v/>
      </c>
      <c r="V109" t="str">
        <f t="shared" si="86"/>
        <v/>
      </c>
      <c r="W109" t="str">
        <f>IF(COUNTBLANK(W38)=0,'Cost Calc'!Y$8,"")</f>
        <v/>
      </c>
      <c r="X109" t="str">
        <f>IF(COUNTBLANK(X38)=0,'Cost Calc'!Y$8,"")</f>
        <v/>
      </c>
      <c r="Y109" t="str">
        <f>IF(COUNTBLANK(Y38)=0,'Cost Calc'!AA$8,"")</f>
        <v/>
      </c>
      <c r="Z109" t="str">
        <f>IF(OR(Z38="A",Z38="X",Z38="a",Z38="x"),'Cost Calc'!AC$8,"")</f>
        <v/>
      </c>
      <c r="AA109" t="str">
        <f>IF(OR(Z38="B",Z38="b"),'Cost Calc'!AD$8,"")</f>
        <v/>
      </c>
      <c r="AB109" s="266">
        <f>IF(COUNTBLANK(C109:D109)&lt;2,IF(M109="N",'Cost Calc'!L$37,'Cost Calc'!L$38),0)</f>
        <v>0</v>
      </c>
      <c r="AC109">
        <f t="shared" si="82"/>
        <v>0</v>
      </c>
      <c r="AE109" s="27"/>
      <c r="AN109" s="1"/>
      <c r="AO109" s="1"/>
      <c r="AP109" s="1"/>
      <c r="AQ109" s="1"/>
      <c r="BD109" s="1"/>
      <c r="BE109" s="1"/>
    </row>
    <row r="110" spans="1:57" ht="13.5" hidden="1" x14ac:dyDescent="0.25">
      <c r="A110" s="252"/>
      <c r="C110" t="str">
        <f t="shared" ref="C110:D110" si="127">C80</f>
        <v/>
      </c>
      <c r="D110" t="str">
        <f t="shared" si="127"/>
        <v/>
      </c>
      <c r="E110" s="410" t="str">
        <f t="shared" si="84"/>
        <v/>
      </c>
      <c r="F110" s="410" t="str">
        <f t="shared" ref="F110:M110" si="128">IF(COUNTBLANK(F39)=0,F39,"")</f>
        <v/>
      </c>
      <c r="G110" s="410"/>
      <c r="H110" s="414" t="str">
        <f t="shared" si="128"/>
        <v/>
      </c>
      <c r="I110" s="410" t="str">
        <f t="shared" si="128"/>
        <v/>
      </c>
      <c r="J110" s="410" t="str">
        <f t="shared" si="128"/>
        <v/>
      </c>
      <c r="K110" s="410" t="str">
        <f t="shared" si="128"/>
        <v/>
      </c>
      <c r="L110" s="410" t="str">
        <f t="shared" si="128"/>
        <v/>
      </c>
      <c r="M110" s="410" t="str">
        <f t="shared" si="128"/>
        <v/>
      </c>
      <c r="N110" t="str">
        <f>IF(COUNTBLANK(N39)=0,'Cost Calc'!P$8,"")</f>
        <v/>
      </c>
      <c r="O110" t="str">
        <f>IF(COUNTBLANK(O39)=0,'Cost Calc'!Q$8,"")</f>
        <v/>
      </c>
      <c r="P110" t="str">
        <f>IF(COUNTBLANK(P39)=0,'Cost Calc'!R$8,"")</f>
        <v/>
      </c>
      <c r="Q110" t="str">
        <f>IF(COUNTBLANK(Q39)=0,'Cost Calc'!S$8,"")</f>
        <v/>
      </c>
      <c r="R110" t="str">
        <f>IF(COUNTBLANK(R39)=0,'Cost Calc'!T$8,"")</f>
        <v/>
      </c>
      <c r="S110" t="str">
        <f>IF(COUNTBLANK(S39)=0,'Cost Calc'!U$8,"")</f>
        <v/>
      </c>
      <c r="T110" t="str">
        <f>IF(COUNTBLANK(T39)=0,'Cost Calc'!V$8,"")</f>
        <v/>
      </c>
      <c r="U110" t="str">
        <f>IF(COUNTBLANK(U39)=0,'Cost Calc'!V$8,"")</f>
        <v/>
      </c>
      <c r="V110" t="str">
        <f t="shared" si="86"/>
        <v/>
      </c>
      <c r="W110" t="str">
        <f>IF(COUNTBLANK(W39)=0,'Cost Calc'!Y$8,"")</f>
        <v/>
      </c>
      <c r="X110" t="str">
        <f>IF(COUNTBLANK(X39)=0,'Cost Calc'!Y$8,"")</f>
        <v/>
      </c>
      <c r="Y110" t="str">
        <f>IF(COUNTBLANK(Y39)=0,'Cost Calc'!AA$8,"")</f>
        <v/>
      </c>
      <c r="Z110" t="str">
        <f>IF(OR(Z39="A",Z39="X",Z39="a",Z39="x"),'Cost Calc'!AC$8,"")</f>
        <v/>
      </c>
      <c r="AA110" t="str">
        <f>IF(OR(Z39="B",Z39="b"),'Cost Calc'!AD$8,"")</f>
        <v/>
      </c>
      <c r="AB110" s="266">
        <f>IF(COUNTBLANK(C110:D110)&lt;2,IF(M110="N",'Cost Calc'!L$37,'Cost Calc'!L$38),0)</f>
        <v>0</v>
      </c>
      <c r="AC110">
        <f t="shared" si="82"/>
        <v>0</v>
      </c>
      <c r="AE110" s="27"/>
      <c r="AN110" s="1"/>
      <c r="AO110" s="1"/>
      <c r="AP110" s="1"/>
      <c r="AQ110" s="1"/>
      <c r="BD110" s="1"/>
      <c r="BE110" s="1"/>
    </row>
    <row r="111" spans="1:57" ht="13.5" hidden="1" x14ac:dyDescent="0.25">
      <c r="A111" s="252"/>
      <c r="C111" t="str">
        <f t="shared" ref="C111:D111" si="129">C81</f>
        <v/>
      </c>
      <c r="D111" t="str">
        <f t="shared" si="129"/>
        <v/>
      </c>
      <c r="E111" s="410" t="str">
        <f t="shared" si="84"/>
        <v/>
      </c>
      <c r="F111" s="410" t="str">
        <f t="shared" ref="F111:M111" si="130">IF(COUNTBLANK(F40)=0,F40,"")</f>
        <v/>
      </c>
      <c r="G111" s="410"/>
      <c r="H111" s="414" t="str">
        <f t="shared" si="130"/>
        <v/>
      </c>
      <c r="I111" s="410" t="str">
        <f t="shared" si="130"/>
        <v/>
      </c>
      <c r="J111" s="410" t="str">
        <f t="shared" si="130"/>
        <v/>
      </c>
      <c r="K111" s="410" t="str">
        <f t="shared" si="130"/>
        <v/>
      </c>
      <c r="L111" s="410" t="str">
        <f t="shared" si="130"/>
        <v/>
      </c>
      <c r="M111" s="410" t="str">
        <f t="shared" si="130"/>
        <v/>
      </c>
      <c r="N111" t="str">
        <f>IF(COUNTBLANK(N40)=0,'Cost Calc'!P$8,"")</f>
        <v/>
      </c>
      <c r="O111" t="str">
        <f>IF(COUNTBLANK(O40)=0,'Cost Calc'!Q$8,"")</f>
        <v/>
      </c>
      <c r="P111" t="str">
        <f>IF(COUNTBLANK(P40)=0,'Cost Calc'!R$8,"")</f>
        <v/>
      </c>
      <c r="Q111" t="str">
        <f>IF(COUNTBLANK(Q40)=0,'Cost Calc'!S$8,"")</f>
        <v/>
      </c>
      <c r="R111" t="str">
        <f>IF(COUNTBLANK(R40)=0,'Cost Calc'!T$8,"")</f>
        <v/>
      </c>
      <c r="S111" t="str">
        <f>IF(COUNTBLANK(S40)=0,'Cost Calc'!U$8,"")</f>
        <v/>
      </c>
      <c r="T111" t="str">
        <f>IF(COUNTBLANK(T40)=0,'Cost Calc'!V$8,"")</f>
        <v/>
      </c>
      <c r="U111" t="str">
        <f>IF(COUNTBLANK(U40)=0,'Cost Calc'!V$8,"")</f>
        <v/>
      </c>
      <c r="V111" t="str">
        <f t="shared" si="86"/>
        <v/>
      </c>
      <c r="W111" t="str">
        <f>IF(COUNTBLANK(W40)=0,'Cost Calc'!Y$8,"")</f>
        <v/>
      </c>
      <c r="X111" t="str">
        <f>IF(COUNTBLANK(X40)=0,'Cost Calc'!Y$8,"")</f>
        <v/>
      </c>
      <c r="Y111" t="str">
        <f>IF(COUNTBLANK(Y40)=0,'Cost Calc'!AA$8,"")</f>
        <v/>
      </c>
      <c r="Z111" t="str">
        <f>IF(OR(Z40="A",Z40="X",Z40="a",Z40="x"),'Cost Calc'!AC$8,"")</f>
        <v/>
      </c>
      <c r="AA111" t="str">
        <f>IF(OR(Z40="B",Z40="b"),'Cost Calc'!AD$8,"")</f>
        <v/>
      </c>
      <c r="AB111" s="266">
        <f>IF(COUNTBLANK(C111:D111)&lt;2,IF(M111="N",'Cost Calc'!L$37,'Cost Calc'!L$38),0)</f>
        <v>0</v>
      </c>
      <c r="AC111">
        <f t="shared" si="82"/>
        <v>0</v>
      </c>
      <c r="AE111" s="27"/>
      <c r="AN111" s="1"/>
      <c r="AO111" s="1"/>
      <c r="AP111" s="1"/>
      <c r="AQ111" s="1"/>
      <c r="BD111" s="1"/>
      <c r="BE111" s="1"/>
    </row>
    <row r="112" spans="1:57" ht="13.5" hidden="1" x14ac:dyDescent="0.25">
      <c r="A112" s="252"/>
      <c r="C112" t="str">
        <f t="shared" ref="C112:D112" si="131">C82</f>
        <v/>
      </c>
      <c r="D112" t="str">
        <f t="shared" si="131"/>
        <v/>
      </c>
      <c r="E112" s="410" t="str">
        <f t="shared" si="84"/>
        <v/>
      </c>
      <c r="F112" s="410" t="str">
        <f t="shared" ref="F112:M112" si="132">IF(COUNTBLANK(F41)=0,F41,"")</f>
        <v/>
      </c>
      <c r="G112" s="410"/>
      <c r="H112" s="414" t="str">
        <f t="shared" si="132"/>
        <v/>
      </c>
      <c r="I112" s="410" t="str">
        <f t="shared" si="132"/>
        <v/>
      </c>
      <c r="J112" s="410" t="str">
        <f t="shared" si="132"/>
        <v/>
      </c>
      <c r="K112" s="410" t="str">
        <f t="shared" si="132"/>
        <v/>
      </c>
      <c r="L112" s="410" t="str">
        <f t="shared" si="132"/>
        <v/>
      </c>
      <c r="M112" s="410" t="str">
        <f t="shared" si="132"/>
        <v/>
      </c>
      <c r="N112" t="str">
        <f>IF(COUNTBLANK(N41)=0,'Cost Calc'!P$8,"")</f>
        <v/>
      </c>
      <c r="O112" t="str">
        <f>IF(COUNTBLANK(O41)=0,'Cost Calc'!Q$8,"")</f>
        <v/>
      </c>
      <c r="P112" t="str">
        <f>IF(COUNTBLANK(P41)=0,'Cost Calc'!R$8,"")</f>
        <v/>
      </c>
      <c r="Q112" t="str">
        <f>IF(COUNTBLANK(Q41)=0,'Cost Calc'!S$8,"")</f>
        <v/>
      </c>
      <c r="R112" t="str">
        <f>IF(COUNTBLANK(R41)=0,'Cost Calc'!T$8,"")</f>
        <v/>
      </c>
      <c r="S112" t="str">
        <f>IF(COUNTBLANK(S41)=0,'Cost Calc'!U$8,"")</f>
        <v/>
      </c>
      <c r="T112" t="str">
        <f>IF(COUNTBLANK(T41)=0,'Cost Calc'!V$8,"")</f>
        <v/>
      </c>
      <c r="U112" t="str">
        <f>IF(COUNTBLANK(U41)=0,'Cost Calc'!V$8,"")</f>
        <v/>
      </c>
      <c r="V112" t="str">
        <f t="shared" si="86"/>
        <v/>
      </c>
      <c r="W112" t="str">
        <f>IF(COUNTBLANK(W41)=0,'Cost Calc'!Y$8,"")</f>
        <v/>
      </c>
      <c r="X112" t="str">
        <f>IF(COUNTBLANK(X41)=0,'Cost Calc'!Y$8,"")</f>
        <v/>
      </c>
      <c r="Y112" t="str">
        <f>IF(COUNTBLANK(Y41)=0,'Cost Calc'!AA$8,"")</f>
        <v/>
      </c>
      <c r="Z112" t="str">
        <f>IF(OR(Z41="A",Z41="X",Z41="a",Z41="x"),'Cost Calc'!AC$8,"")</f>
        <v/>
      </c>
      <c r="AA112" t="str">
        <f>IF(OR(Z41="B",Z41="b"),'Cost Calc'!AD$8,"")</f>
        <v/>
      </c>
      <c r="AB112" s="266">
        <f>IF(COUNTBLANK(C112:D112)&lt;2,IF(M112="N",'Cost Calc'!L$37,'Cost Calc'!L$38),0)</f>
        <v>0</v>
      </c>
      <c r="AC112">
        <f t="shared" si="82"/>
        <v>0</v>
      </c>
      <c r="AE112" s="27"/>
      <c r="AN112" s="1"/>
      <c r="AO112" s="1"/>
      <c r="AP112" s="1"/>
      <c r="AQ112" s="1"/>
      <c r="BD112" s="1"/>
      <c r="BE112" s="1"/>
    </row>
    <row r="113" spans="1:60" ht="13.5" hidden="1" x14ac:dyDescent="0.25">
      <c r="A113" s="252"/>
      <c r="C113" t="str">
        <f t="shared" ref="C113" si="133">C83</f>
        <v/>
      </c>
      <c r="D113" t="str">
        <f t="shared" ref="D113" si="134">D83</f>
        <v/>
      </c>
      <c r="E113" s="410" t="str">
        <f t="shared" si="84"/>
        <v/>
      </c>
      <c r="F113" s="410" t="str">
        <f t="shared" ref="F113:M113" si="135">IF(COUNTBLANK(F42)=0,F42,"")</f>
        <v/>
      </c>
      <c r="G113" s="410"/>
      <c r="H113" s="414" t="str">
        <f t="shared" si="135"/>
        <v/>
      </c>
      <c r="I113" s="410" t="str">
        <f t="shared" si="135"/>
        <v/>
      </c>
      <c r="J113" s="410" t="str">
        <f t="shared" si="135"/>
        <v/>
      </c>
      <c r="K113" s="410" t="str">
        <f t="shared" si="135"/>
        <v/>
      </c>
      <c r="L113" s="410" t="str">
        <f t="shared" si="135"/>
        <v/>
      </c>
      <c r="M113" s="410" t="str">
        <f t="shared" si="135"/>
        <v/>
      </c>
      <c r="N113" t="str">
        <f>IF(COUNTBLANK(N42)=0,'Cost Calc'!P$8,"")</f>
        <v/>
      </c>
      <c r="O113" t="str">
        <f>IF(COUNTBLANK(O42)=0,'Cost Calc'!Q$8,"")</f>
        <v/>
      </c>
      <c r="P113" t="str">
        <f>IF(COUNTBLANK(P42)=0,'Cost Calc'!R$8,"")</f>
        <v/>
      </c>
      <c r="Q113" t="str">
        <f>IF(COUNTBLANK(Q42)=0,'Cost Calc'!S$8,"")</f>
        <v/>
      </c>
      <c r="R113" t="str">
        <f>IF(COUNTBLANK(R42)=0,'Cost Calc'!T$8,"")</f>
        <v/>
      </c>
      <c r="S113" t="str">
        <f>IF(COUNTBLANK(S42)=0,'Cost Calc'!U$8,"")</f>
        <v/>
      </c>
      <c r="T113" t="str">
        <f>IF(COUNTBLANK(T42)=0,'Cost Calc'!V$8,"")</f>
        <v/>
      </c>
      <c r="U113" t="str">
        <f>IF(COUNTBLANK(U42)=0,'Cost Calc'!V$8,"")</f>
        <v/>
      </c>
      <c r="V113" t="str">
        <f t="shared" si="86"/>
        <v/>
      </c>
      <c r="W113" t="str">
        <f>IF(COUNTBLANK(W42)=0,'Cost Calc'!Y$8,"")</f>
        <v/>
      </c>
      <c r="X113" t="str">
        <f>IF(COUNTBLANK(X42)=0,'Cost Calc'!Y$8,"")</f>
        <v/>
      </c>
      <c r="Y113" t="str">
        <f>IF(COUNTBLANK(Y42)=0,'Cost Calc'!AA$8,"")</f>
        <v/>
      </c>
      <c r="Z113" t="str">
        <f>IF(OR(Z42="A",Z42="X",Z42="a",Z42="x"),'Cost Calc'!AC$8,"")</f>
        <v/>
      </c>
      <c r="AA113" t="str">
        <f>IF(OR(Z42="B",Z42="b"),'Cost Calc'!AD$8,"")</f>
        <v/>
      </c>
      <c r="AB113" s="266">
        <f>IF(COUNTBLANK(C113:D113)&lt;2,IF(M113="N",'Cost Calc'!L$37,'Cost Calc'!L$38),0)</f>
        <v>0</v>
      </c>
      <c r="AC113">
        <f t="shared" si="82"/>
        <v>0</v>
      </c>
      <c r="AE113" s="27"/>
      <c r="AN113" s="1"/>
      <c r="AO113" s="1"/>
      <c r="AP113" s="1"/>
      <c r="AQ113" s="1"/>
      <c r="BD113" s="1"/>
      <c r="BE113" s="1"/>
    </row>
    <row r="114" spans="1:60" ht="13.5" hidden="1" x14ac:dyDescent="0.25">
      <c r="A114" s="252"/>
      <c r="C114" t="str">
        <f t="shared" ref="C114" si="136">C84</f>
        <v/>
      </c>
      <c r="D114" t="str">
        <f t="shared" ref="D114" si="137">D84</f>
        <v/>
      </c>
      <c r="E114" s="410" t="str">
        <f t="shared" si="84"/>
        <v/>
      </c>
      <c r="F114" s="410" t="str">
        <f t="shared" ref="F114:M114" si="138">IF(COUNTBLANK(F43)=0,F43,"")</f>
        <v/>
      </c>
      <c r="G114" s="410"/>
      <c r="H114" s="414" t="str">
        <f t="shared" si="138"/>
        <v/>
      </c>
      <c r="I114" s="410" t="str">
        <f t="shared" si="138"/>
        <v/>
      </c>
      <c r="J114" s="410" t="str">
        <f t="shared" si="138"/>
        <v/>
      </c>
      <c r="K114" s="410" t="str">
        <f t="shared" si="138"/>
        <v/>
      </c>
      <c r="L114" s="410" t="str">
        <f t="shared" si="138"/>
        <v/>
      </c>
      <c r="M114" s="410" t="str">
        <f t="shared" si="138"/>
        <v/>
      </c>
      <c r="N114" t="str">
        <f>IF(COUNTBLANK(N43)=0,'Cost Calc'!P$8,"")</f>
        <v/>
      </c>
      <c r="O114" t="str">
        <f>IF(COUNTBLANK(O43)=0,'Cost Calc'!Q$8,"")</f>
        <v/>
      </c>
      <c r="P114" t="str">
        <f>IF(COUNTBLANK(P43)=0,'Cost Calc'!R$8,"")</f>
        <v/>
      </c>
      <c r="Q114" t="str">
        <f>IF(COUNTBLANK(Q43)=0,'Cost Calc'!S$8,"")</f>
        <v/>
      </c>
      <c r="R114" t="str">
        <f>IF(COUNTBLANK(R43)=0,'Cost Calc'!T$8,"")</f>
        <v/>
      </c>
      <c r="S114" t="str">
        <f>IF(COUNTBLANK(S43)=0,'Cost Calc'!U$8,"")</f>
        <v/>
      </c>
      <c r="T114" t="str">
        <f>IF(COUNTBLANK(T43)=0,'Cost Calc'!V$8,"")</f>
        <v/>
      </c>
      <c r="U114" t="str">
        <f>IF(COUNTBLANK(U43)=0,'Cost Calc'!V$8,"")</f>
        <v/>
      </c>
      <c r="V114" t="str">
        <f t="shared" si="86"/>
        <v/>
      </c>
      <c r="W114" t="str">
        <f>IF(COUNTBLANK(W43)=0,'Cost Calc'!Y$8,"")</f>
        <v/>
      </c>
      <c r="X114" t="str">
        <f>IF(COUNTBLANK(X43)=0,'Cost Calc'!Y$8,"")</f>
        <v/>
      </c>
      <c r="Y114" t="str">
        <f>IF(COUNTBLANK(Y43)=0,'Cost Calc'!AA$8,"")</f>
        <v/>
      </c>
      <c r="Z114" t="str">
        <f>IF(OR(Z43="A",Z43="X",Z43="a",Z43="x"),'Cost Calc'!AC$8,"")</f>
        <v/>
      </c>
      <c r="AA114" t="str">
        <f>IF(OR(Z43="B",Z43="b"),'Cost Calc'!AD$8,"")</f>
        <v/>
      </c>
      <c r="AB114" s="266">
        <f>IF(COUNTBLANK(C114:D114)&lt;2,IF(M114="N",'Cost Calc'!L$37,'Cost Calc'!L$38),0)</f>
        <v>0</v>
      </c>
      <c r="AC114">
        <f t="shared" si="82"/>
        <v>0</v>
      </c>
      <c r="AE114" s="27"/>
      <c r="AN114" s="1"/>
      <c r="AO114" s="1"/>
      <c r="AP114" s="1"/>
      <c r="AQ114" s="1"/>
      <c r="BD114" s="1"/>
      <c r="BE114" s="1"/>
    </row>
    <row r="115" spans="1:60" hidden="1" x14ac:dyDescent="0.2">
      <c r="A115" s="252"/>
      <c r="AG115" s="27"/>
      <c r="AP115" s="1"/>
      <c r="AQ115" s="1"/>
      <c r="AR115" s="1"/>
      <c r="AS115" s="1"/>
      <c r="BF115" s="1"/>
      <c r="BG115" s="1"/>
    </row>
    <row r="116" spans="1:60" hidden="1" x14ac:dyDescent="0.2">
      <c r="A116" s="252"/>
      <c r="AG116" s="27"/>
      <c r="AP116" s="1"/>
      <c r="AQ116" s="1"/>
      <c r="AR116" s="1"/>
      <c r="AS116" s="1"/>
      <c r="BF116" s="1"/>
      <c r="BG116" s="1"/>
    </row>
    <row r="117" spans="1:60" hidden="1" x14ac:dyDescent="0.2">
      <c r="A117" s="252"/>
      <c r="AF117" s="27"/>
      <c r="AP117" s="1"/>
      <c r="AQ117" s="1"/>
      <c r="AR117" s="1"/>
      <c r="AS117" s="1"/>
      <c r="BF117" s="1"/>
      <c r="BG117" s="1"/>
    </row>
    <row r="118" spans="1:60" hidden="1" x14ac:dyDescent="0.2">
      <c r="A118" s="252"/>
      <c r="AF118" s="27"/>
      <c r="AP118" s="1"/>
      <c r="AQ118" s="1"/>
      <c r="AR118" s="1"/>
      <c r="AS118" s="1"/>
      <c r="BF118" s="1"/>
      <c r="BG118" s="1"/>
    </row>
    <row r="119" spans="1:60" hidden="1" x14ac:dyDescent="0.2">
      <c r="A119" s="252"/>
      <c r="AG119" s="27"/>
      <c r="AQ119" s="1"/>
      <c r="AR119" s="1"/>
      <c r="AS119" s="1"/>
      <c r="AT119" s="1"/>
      <c r="BG119" s="1"/>
      <c r="BH119" s="1"/>
    </row>
    <row r="120" spans="1:60" hidden="1" x14ac:dyDescent="0.2">
      <c r="A120" s="252"/>
      <c r="AF120" s="27"/>
      <c r="AQ120" s="1"/>
      <c r="AR120" s="1"/>
      <c r="AS120" s="1"/>
      <c r="AT120" s="1"/>
      <c r="BG120" s="1"/>
      <c r="BH120" s="1"/>
    </row>
    <row r="121" spans="1:60" hidden="1" x14ac:dyDescent="0.2">
      <c r="A121" s="252"/>
      <c r="AF121" s="27"/>
      <c r="AQ121" s="1"/>
      <c r="AR121" s="1"/>
      <c r="AS121" s="1"/>
      <c r="AT121" s="1"/>
      <c r="BG121" s="1"/>
      <c r="BH121" s="1"/>
    </row>
    <row r="122" spans="1:60" ht="13.5" hidden="1" thickBot="1" x14ac:dyDescent="0.25">
      <c r="A122" s="252"/>
      <c r="AF122" s="27"/>
      <c r="AQ122" s="1"/>
      <c r="AR122" s="1"/>
      <c r="AS122" s="1"/>
      <c r="AT122" s="1"/>
      <c r="BG122" s="1"/>
      <c r="BH122" s="1"/>
    </row>
    <row r="123" spans="1:60" hidden="1" x14ac:dyDescent="0.2">
      <c r="A123" s="257"/>
      <c r="B123" s="395"/>
      <c r="C123" s="35"/>
      <c r="D123" s="35"/>
      <c r="E123" s="35"/>
      <c r="F123" s="35"/>
      <c r="G123" s="35"/>
      <c r="H123" s="35"/>
      <c r="I123" s="35"/>
      <c r="J123" s="35"/>
      <c r="K123" s="35"/>
      <c r="L123" s="35"/>
      <c r="M123" s="35"/>
      <c r="N123" s="35"/>
      <c r="O123" s="35"/>
      <c r="P123" s="35"/>
      <c r="Q123" s="35"/>
      <c r="R123" s="35"/>
      <c r="S123" s="35"/>
      <c r="T123" s="35"/>
      <c r="U123" s="35"/>
      <c r="V123" s="35"/>
      <c r="W123" s="35"/>
      <c r="X123" s="35"/>
      <c r="Y123" s="36"/>
      <c r="AF123" s="27"/>
      <c r="AQ123" s="1"/>
      <c r="AR123" s="1"/>
      <c r="AS123" s="1"/>
      <c r="AT123" s="1"/>
      <c r="BG123" s="1"/>
      <c r="BH123" s="1"/>
    </row>
    <row r="124" spans="1:60" hidden="1" x14ac:dyDescent="0.2">
      <c r="A124" s="258" t="s">
        <v>200</v>
      </c>
      <c r="B124" s="396"/>
      <c r="C124" s="9"/>
      <c r="D124" s="9"/>
      <c r="E124" s="9"/>
      <c r="F124" s="9"/>
      <c r="G124" s="9"/>
      <c r="H124" s="9"/>
      <c r="I124" s="9"/>
      <c r="J124" s="9"/>
      <c r="K124" s="9"/>
      <c r="L124" s="9"/>
      <c r="M124" s="9"/>
      <c r="N124" s="9"/>
      <c r="O124" s="9"/>
      <c r="P124" s="9"/>
      <c r="Q124" s="9"/>
      <c r="R124" s="9"/>
      <c r="S124" s="9"/>
      <c r="T124" s="9"/>
      <c r="U124" s="9"/>
      <c r="V124" s="9"/>
      <c r="W124" s="9"/>
      <c r="X124" s="9"/>
      <c r="Y124" s="37"/>
      <c r="AF124" s="27"/>
      <c r="AQ124" s="1"/>
      <c r="AR124" s="1"/>
      <c r="AS124" s="1"/>
      <c r="AT124" s="1"/>
      <c r="BG124" s="1"/>
      <c r="BH124" s="1"/>
    </row>
    <row r="125" spans="1:60" hidden="1" x14ac:dyDescent="0.2">
      <c r="A125" s="259"/>
      <c r="B125" s="397"/>
      <c r="C125" s="9" t="s">
        <v>201</v>
      </c>
      <c r="D125" s="9" t="s">
        <v>202</v>
      </c>
      <c r="E125" s="9"/>
      <c r="F125" s="9"/>
      <c r="G125" s="9"/>
      <c r="H125" s="9"/>
      <c r="I125" s="9"/>
      <c r="J125" s="9"/>
      <c r="K125" s="9"/>
      <c r="L125" s="9"/>
      <c r="M125" s="9"/>
      <c r="N125" s="9"/>
      <c r="O125" s="9"/>
      <c r="P125" s="9"/>
      <c r="Q125" s="9"/>
      <c r="R125" s="9"/>
      <c r="S125" s="9"/>
      <c r="T125" s="9"/>
      <c r="U125" s="9"/>
      <c r="V125" s="9"/>
      <c r="W125" s="9"/>
      <c r="X125" s="9"/>
      <c r="Y125" s="37"/>
      <c r="AF125" s="27"/>
      <c r="AQ125" s="1"/>
      <c r="AR125" s="1"/>
      <c r="AS125" s="1"/>
      <c r="AT125" s="1"/>
      <c r="BG125" s="1"/>
      <c r="BH125" s="1"/>
    </row>
    <row r="126" spans="1:60" hidden="1" x14ac:dyDescent="0.2">
      <c r="A126" s="259"/>
      <c r="B126" s="397"/>
      <c r="C126" s="9"/>
      <c r="D126" s="140" t="s">
        <v>208</v>
      </c>
      <c r="E126" s="9"/>
      <c r="F126" s="9"/>
      <c r="G126" s="9"/>
      <c r="H126" s="9"/>
      <c r="I126" s="9"/>
      <c r="J126" s="9"/>
      <c r="K126" s="9"/>
      <c r="L126" s="9"/>
      <c r="M126" s="9"/>
      <c r="N126" s="9"/>
      <c r="O126" s="9"/>
      <c r="P126" s="9"/>
      <c r="Q126" s="9"/>
      <c r="R126" s="9"/>
      <c r="S126" s="9"/>
      <c r="T126" s="9"/>
      <c r="U126" s="9"/>
      <c r="V126" s="9"/>
      <c r="W126" s="9"/>
      <c r="X126" s="9"/>
      <c r="Y126" s="37"/>
      <c r="AF126" s="27"/>
      <c r="AQ126" s="1"/>
      <c r="AR126" s="1"/>
      <c r="AS126" s="1"/>
      <c r="AT126" s="1"/>
      <c r="BG126" s="1"/>
      <c r="BH126" s="1"/>
    </row>
    <row r="127" spans="1:60" ht="25.5" hidden="1" x14ac:dyDescent="0.25">
      <c r="A127" s="259"/>
      <c r="B127" s="397"/>
      <c r="C127" s="9"/>
      <c r="D127" s="9"/>
      <c r="E127" s="141" t="s">
        <v>123</v>
      </c>
      <c r="F127" s="141" t="s">
        <v>127</v>
      </c>
      <c r="G127" s="141"/>
      <c r="H127" s="141" t="s">
        <v>203</v>
      </c>
      <c r="I127" s="141" t="s">
        <v>204</v>
      </c>
      <c r="J127" s="141"/>
      <c r="K127" s="141" t="s">
        <v>205</v>
      </c>
      <c r="L127" s="148" t="s">
        <v>209</v>
      </c>
      <c r="M127" s="148" t="s">
        <v>210</v>
      </c>
      <c r="N127" s="148" t="s">
        <v>212</v>
      </c>
      <c r="O127" s="141"/>
      <c r="P127" s="150" t="s">
        <v>209</v>
      </c>
      <c r="Q127" s="150" t="s">
        <v>210</v>
      </c>
      <c r="R127" s="150" t="s">
        <v>211</v>
      </c>
      <c r="S127" s="165" t="s">
        <v>222</v>
      </c>
      <c r="T127" s="166"/>
      <c r="U127" s="166"/>
      <c r="V127" s="9"/>
      <c r="W127" s="9"/>
      <c r="X127" s="9"/>
      <c r="Y127" s="37"/>
      <c r="Z127" s="9"/>
      <c r="AA127" s="9"/>
      <c r="AB127" s="141"/>
      <c r="AF127" s="27"/>
      <c r="AQ127" s="1"/>
      <c r="AR127" s="1"/>
      <c r="AS127" s="1"/>
      <c r="AT127" s="1"/>
      <c r="BG127" s="1"/>
      <c r="BH127" s="1"/>
    </row>
    <row r="128" spans="1:60" ht="14.25" hidden="1" thickBot="1" x14ac:dyDescent="0.3">
      <c r="A128" s="259"/>
      <c r="B128" s="397"/>
      <c r="C128" s="9"/>
      <c r="D128" s="9"/>
      <c r="E128" s="9"/>
      <c r="F128" s="9"/>
      <c r="G128" s="9"/>
      <c r="H128" s="141" t="s">
        <v>206</v>
      </c>
      <c r="I128" s="141"/>
      <c r="J128" s="141"/>
      <c r="K128" s="141" t="s">
        <v>207</v>
      </c>
      <c r="L128" s="145"/>
      <c r="M128" s="145"/>
      <c r="N128" s="145"/>
      <c r="O128" s="9"/>
      <c r="P128" s="151"/>
      <c r="Q128" s="151"/>
      <c r="R128" s="151"/>
      <c r="S128" s="166"/>
      <c r="T128" s="166"/>
      <c r="U128" s="166"/>
      <c r="V128" s="9"/>
      <c r="W128" s="9"/>
      <c r="X128" s="9"/>
      <c r="Y128" s="37"/>
      <c r="Z128" s="9"/>
      <c r="AA128" s="9"/>
      <c r="AB128" s="9"/>
      <c r="AC128" s="9"/>
      <c r="AF128" s="27"/>
      <c r="AQ128" s="1"/>
      <c r="AR128" s="1"/>
      <c r="AS128" s="1"/>
      <c r="AT128" s="1"/>
      <c r="BG128" s="1"/>
      <c r="BH128" s="1"/>
    </row>
    <row r="129" spans="1:60" ht="13.5" hidden="1" x14ac:dyDescent="0.25">
      <c r="A129" s="259"/>
      <c r="B129" s="398"/>
      <c r="C129" s="134" t="str">
        <f t="shared" ref="C129:C155" si="139">IF(COUNTBLANK(V17)=1,"",C17)</f>
        <v/>
      </c>
      <c r="D129" s="135" t="str">
        <f t="shared" ref="D129:D155" si="140">IF(COUNTBLANK(V17)=1,"",D17)</f>
        <v/>
      </c>
      <c r="E129" s="139" t="str">
        <f t="shared" ref="E129:E155" si="141">IF(COUNTBLANK(V17)=1,"",PROPER(T17))</f>
        <v/>
      </c>
      <c r="F129" s="139" t="str">
        <f t="shared" ref="F129:F155" si="142">IF(COUNTBLANK(V17)=1,"",PROPER(V17))</f>
        <v/>
      </c>
      <c r="G129" s="139"/>
      <c r="H129" s="139">
        <f t="shared" ref="H129:H155" si="143">IF(COUNTBLANK(V17)=0,COUNTIF(F$129:F$155,F129),0)</f>
        <v>0</v>
      </c>
      <c r="I129" s="139" t="str">
        <f t="shared" ref="I129:I155" si="144">IF(AND(COUNTBLANK(C129:D129)=0,E129="Open"),F129,"")</f>
        <v/>
      </c>
      <c r="J129" s="139"/>
      <c r="K129" s="139">
        <f t="shared" ref="K129:K155" si="145">IF(AND(COUNTBLANK(I129)=0,COUNTBLANK(V17)=0),COUNTIF(I$129:I$155,I129),0)</f>
        <v>0</v>
      </c>
      <c r="L129" s="143" t="str">
        <f>IF(H129&gt;3,CONCATENATE("Too many members in ",F129," 3-P Team; "),"")</f>
        <v/>
      </c>
      <c r="M129" s="147" t="b">
        <f>IF(H129&gt;3,TRUE,FALSE)</f>
        <v>0</v>
      </c>
      <c r="N129" s="145" t="str">
        <f t="shared" ref="N129:N155" si="146">IF(M129,L129,"")</f>
        <v/>
      </c>
      <c r="O129" s="9"/>
      <c r="P129" s="151" t="str">
        <f t="shared" ref="P129:P155" si="147">IF(K129&gt;2,CONCATENATE("More than 2 Open shooters in ",I129," 3-P Team; "),"")</f>
        <v/>
      </c>
      <c r="Q129" s="152" t="b">
        <f>IF(K129&gt;2,TRUE,FALSE)</f>
        <v>0</v>
      </c>
      <c r="R129" s="151" t="str">
        <f t="shared" ref="R129:R155" si="148">IF(Q129,P129,"")</f>
        <v/>
      </c>
      <c r="S129" s="166" t="str">
        <f t="shared" ref="S129:S155" si="149">IF(AND(H129&gt;0,H129&lt;3),CONCATENATE(F129," has too few members; "),"")</f>
        <v/>
      </c>
      <c r="T129" s="166" t="b">
        <f>IF(AND(H129&gt;0,H129&lt;3),TRUE,FALSE)</f>
        <v>0</v>
      </c>
      <c r="U129" s="166" t="str">
        <f t="shared" ref="U129:U155" si="150">IF(T129,S129,"")</f>
        <v/>
      </c>
      <c r="V129" s="9"/>
      <c r="W129" s="9"/>
      <c r="X129" s="9"/>
      <c r="Y129" s="37"/>
      <c r="Z129" s="9"/>
      <c r="AA129" s="9"/>
      <c r="AB129" s="9"/>
      <c r="AF129" s="27"/>
      <c r="AQ129" s="1"/>
      <c r="AR129" s="1"/>
      <c r="AS129" s="1"/>
      <c r="AT129" s="1"/>
      <c r="BG129" s="1"/>
      <c r="BH129" s="1"/>
    </row>
    <row r="130" spans="1:60" ht="13.5" hidden="1" x14ac:dyDescent="0.25">
      <c r="A130" s="259"/>
      <c r="B130" s="398"/>
      <c r="C130" s="136" t="str">
        <f t="shared" si="139"/>
        <v/>
      </c>
      <c r="D130" s="133" t="str">
        <f t="shared" si="140"/>
        <v/>
      </c>
      <c r="E130" s="128" t="str">
        <f t="shared" si="141"/>
        <v/>
      </c>
      <c r="F130" s="128" t="str">
        <f t="shared" si="142"/>
        <v/>
      </c>
      <c r="G130" s="128"/>
      <c r="H130" s="128">
        <f t="shared" si="143"/>
        <v>0</v>
      </c>
      <c r="I130" s="128" t="str">
        <f t="shared" si="144"/>
        <v/>
      </c>
      <c r="J130" s="128"/>
      <c r="K130" s="128">
        <f t="shared" si="145"/>
        <v>0</v>
      </c>
      <c r="L130" s="146" t="str">
        <f>IF(H130&gt;3,CONCATENATE("Too many members in ",F130," 3-P Team; "),"")</f>
        <v/>
      </c>
      <c r="M130" s="145" t="b">
        <f>IF(H130&gt;3,(ISERROR(VLOOKUP(L130,L$129:L129,1,FALSE))),FALSE)</f>
        <v>0</v>
      </c>
      <c r="N130" s="145" t="str">
        <f t="shared" si="146"/>
        <v/>
      </c>
      <c r="O130" s="9"/>
      <c r="P130" s="151" t="str">
        <f t="shared" si="147"/>
        <v/>
      </c>
      <c r="Q130" s="151" t="b">
        <f>IF(K130&gt;2,(ISERROR(VLOOKUP(P130,P$129:P129,1,FALSE))),FALSE)</f>
        <v>0</v>
      </c>
      <c r="R130" s="151" t="str">
        <f t="shared" si="148"/>
        <v/>
      </c>
      <c r="S130" s="166" t="str">
        <f t="shared" si="149"/>
        <v/>
      </c>
      <c r="T130" s="166" t="b">
        <f>IF(AND(H130&gt;0,H130&lt;3),(ISERROR(VLOOKUP(S130,S$129:S129,1,FALSE))),FALSE)</f>
        <v>0</v>
      </c>
      <c r="U130" s="166" t="str">
        <f t="shared" si="150"/>
        <v/>
      </c>
      <c r="V130" s="9"/>
      <c r="W130" s="9"/>
      <c r="X130" s="9"/>
      <c r="Y130" s="37"/>
      <c r="Z130" s="9"/>
      <c r="AA130" s="9"/>
      <c r="AB130" s="9"/>
      <c r="AF130" s="27"/>
      <c r="AQ130" s="1"/>
      <c r="AR130" s="1"/>
      <c r="AS130" s="1"/>
      <c r="AT130" s="1"/>
      <c r="BG130" s="1"/>
      <c r="BH130" s="1"/>
    </row>
    <row r="131" spans="1:60" ht="13.5" hidden="1" x14ac:dyDescent="0.25">
      <c r="A131" s="259"/>
      <c r="B131" s="398"/>
      <c r="C131" s="136" t="str">
        <f t="shared" si="139"/>
        <v/>
      </c>
      <c r="D131" s="133" t="str">
        <f t="shared" si="140"/>
        <v/>
      </c>
      <c r="E131" s="128" t="str">
        <f t="shared" si="141"/>
        <v/>
      </c>
      <c r="F131" s="128" t="str">
        <f t="shared" si="142"/>
        <v/>
      </c>
      <c r="G131" s="128"/>
      <c r="H131" s="128">
        <f t="shared" si="143"/>
        <v>0</v>
      </c>
      <c r="I131" s="128" t="str">
        <f t="shared" si="144"/>
        <v/>
      </c>
      <c r="J131" s="128"/>
      <c r="K131" s="128">
        <f t="shared" si="145"/>
        <v>0</v>
      </c>
      <c r="L131" s="146" t="str">
        <f t="shared" ref="L131:L155" si="151">IF(H131&gt;3,CONCATENATE("Too many members in ",F131," 3-P Team; "),"")</f>
        <v/>
      </c>
      <c r="M131" s="145" t="b">
        <f>IF(H131&gt;3,(ISERROR(VLOOKUP(L131,L$129:L130,1,FALSE))),FALSE)</f>
        <v>0</v>
      </c>
      <c r="N131" s="145" t="str">
        <f t="shared" si="146"/>
        <v/>
      </c>
      <c r="O131" s="9"/>
      <c r="P131" s="151" t="str">
        <f t="shared" si="147"/>
        <v/>
      </c>
      <c r="Q131" s="151" t="b">
        <f>IF(K131&gt;2,(ISERROR(VLOOKUP(P131,P$129:P130,1,FALSE))),FALSE)</f>
        <v>0</v>
      </c>
      <c r="R131" s="151" t="str">
        <f t="shared" si="148"/>
        <v/>
      </c>
      <c r="S131" s="166" t="str">
        <f t="shared" si="149"/>
        <v/>
      </c>
      <c r="T131" s="166" t="b">
        <f>IF(AND(H131&gt;0,H131&lt;3),(ISERROR(VLOOKUP(S131,S$129:S130,1,FALSE))),FALSE)</f>
        <v>0</v>
      </c>
      <c r="U131" s="166" t="str">
        <f t="shared" si="150"/>
        <v/>
      </c>
      <c r="V131" s="9"/>
      <c r="W131" s="9"/>
      <c r="X131" s="9"/>
      <c r="Y131" s="37"/>
      <c r="Z131" s="9"/>
      <c r="AA131" s="9"/>
      <c r="AB131" s="9"/>
      <c r="AF131" s="27"/>
      <c r="AQ131" s="1"/>
      <c r="AR131" s="1"/>
      <c r="AS131" s="1"/>
      <c r="AT131" s="1"/>
      <c r="BG131" s="1"/>
      <c r="BH131" s="1"/>
    </row>
    <row r="132" spans="1:60" ht="13.5" hidden="1" x14ac:dyDescent="0.25">
      <c r="A132" s="259"/>
      <c r="B132" s="398"/>
      <c r="C132" s="136" t="str">
        <f t="shared" si="139"/>
        <v/>
      </c>
      <c r="D132" s="133" t="str">
        <f t="shared" si="140"/>
        <v/>
      </c>
      <c r="E132" s="128" t="str">
        <f t="shared" si="141"/>
        <v/>
      </c>
      <c r="F132" s="128" t="str">
        <f t="shared" si="142"/>
        <v/>
      </c>
      <c r="G132" s="128"/>
      <c r="H132" s="128">
        <f t="shared" si="143"/>
        <v>0</v>
      </c>
      <c r="I132" s="128" t="str">
        <f t="shared" si="144"/>
        <v/>
      </c>
      <c r="J132" s="128"/>
      <c r="K132" s="128">
        <f t="shared" si="145"/>
        <v>0</v>
      </c>
      <c r="L132" s="146" t="str">
        <f>IF(H132&gt;3,CONCATENATE("Too many members in ",F132," 3-P Team; "),"")</f>
        <v/>
      </c>
      <c r="M132" s="145" t="b">
        <f>IF(H132&gt;3,(ISERROR(VLOOKUP(L132,L$129:L131,1,FALSE))),FALSE)</f>
        <v>0</v>
      </c>
      <c r="N132" s="145" t="str">
        <f t="shared" si="146"/>
        <v/>
      </c>
      <c r="O132" s="9"/>
      <c r="P132" s="151" t="str">
        <f t="shared" si="147"/>
        <v/>
      </c>
      <c r="Q132" s="151" t="b">
        <f>IF(K132&gt;2,(ISERROR(VLOOKUP(P132,P$129:P131,1,FALSE))),FALSE)</f>
        <v>0</v>
      </c>
      <c r="R132" s="151" t="str">
        <f t="shared" si="148"/>
        <v/>
      </c>
      <c r="S132" s="166" t="str">
        <f t="shared" si="149"/>
        <v/>
      </c>
      <c r="T132" s="166" t="b">
        <f>IF(AND(H132&gt;0,H132&lt;3),(ISERROR(VLOOKUP(S132,S$129:S131,1,FALSE))),FALSE)</f>
        <v>0</v>
      </c>
      <c r="U132" s="166" t="str">
        <f t="shared" si="150"/>
        <v/>
      </c>
      <c r="V132" s="9"/>
      <c r="W132" s="9"/>
      <c r="X132" s="9"/>
      <c r="Y132" s="37"/>
      <c r="Z132" s="9"/>
      <c r="AA132" s="9"/>
      <c r="AB132" s="9"/>
      <c r="AF132" s="27"/>
      <c r="AQ132" s="1"/>
      <c r="AR132" s="1"/>
      <c r="AS132" s="1"/>
      <c r="AT132" s="1"/>
      <c r="BG132" s="1"/>
      <c r="BH132" s="1"/>
    </row>
    <row r="133" spans="1:60" ht="13.5" hidden="1" x14ac:dyDescent="0.25">
      <c r="A133" s="259"/>
      <c r="B133" s="398"/>
      <c r="C133" s="136" t="str">
        <f t="shared" si="139"/>
        <v/>
      </c>
      <c r="D133" s="133" t="str">
        <f t="shared" si="140"/>
        <v/>
      </c>
      <c r="E133" s="128" t="str">
        <f t="shared" si="141"/>
        <v/>
      </c>
      <c r="F133" s="128" t="str">
        <f t="shared" si="142"/>
        <v/>
      </c>
      <c r="G133" s="128"/>
      <c r="H133" s="128">
        <f t="shared" si="143"/>
        <v>0</v>
      </c>
      <c r="I133" s="128" t="str">
        <f t="shared" si="144"/>
        <v/>
      </c>
      <c r="J133" s="128"/>
      <c r="K133" s="128">
        <f t="shared" si="145"/>
        <v>0</v>
      </c>
      <c r="L133" s="146" t="str">
        <f t="shared" si="151"/>
        <v/>
      </c>
      <c r="M133" s="145" t="b">
        <f>IF(H133&gt;3,(ISERROR(VLOOKUP(L133,L$129:L132,1,FALSE))),FALSE)</f>
        <v>0</v>
      </c>
      <c r="N133" s="145" t="str">
        <f t="shared" si="146"/>
        <v/>
      </c>
      <c r="O133" s="9"/>
      <c r="P133" s="151" t="str">
        <f t="shared" si="147"/>
        <v/>
      </c>
      <c r="Q133" s="151" t="b">
        <f>IF(K133&gt;2,(ISERROR(VLOOKUP(P133,P$129:P132,1,FALSE))),FALSE)</f>
        <v>0</v>
      </c>
      <c r="R133" s="151" t="str">
        <f t="shared" si="148"/>
        <v/>
      </c>
      <c r="S133" s="166" t="str">
        <f t="shared" si="149"/>
        <v/>
      </c>
      <c r="T133" s="166" t="b">
        <f>IF(AND(H133&gt;0,H133&lt;3),(ISERROR(VLOOKUP(S133,S$129:S132,1,FALSE))),FALSE)</f>
        <v>0</v>
      </c>
      <c r="U133" s="166" t="str">
        <f t="shared" si="150"/>
        <v/>
      </c>
      <c r="V133" s="9"/>
      <c r="W133" s="9"/>
      <c r="X133" s="9"/>
      <c r="Y133" s="37"/>
      <c r="Z133" s="9"/>
      <c r="AA133" s="9"/>
      <c r="AB133" s="9"/>
      <c r="AF133" s="27"/>
      <c r="AQ133" s="1"/>
      <c r="AR133" s="1"/>
      <c r="AS133" s="1"/>
      <c r="AT133" s="1"/>
      <c r="BG133" s="1"/>
      <c r="BH133" s="1"/>
    </row>
    <row r="134" spans="1:60" ht="13.5" hidden="1" x14ac:dyDescent="0.25">
      <c r="A134" s="259"/>
      <c r="B134" s="398"/>
      <c r="C134" s="136" t="str">
        <f t="shared" si="139"/>
        <v/>
      </c>
      <c r="D134" s="133" t="str">
        <f t="shared" si="140"/>
        <v/>
      </c>
      <c r="E134" s="128" t="str">
        <f t="shared" si="141"/>
        <v/>
      </c>
      <c r="F134" s="128" t="str">
        <f t="shared" si="142"/>
        <v/>
      </c>
      <c r="G134" s="128"/>
      <c r="H134" s="128">
        <f t="shared" si="143"/>
        <v>0</v>
      </c>
      <c r="I134" s="128" t="str">
        <f t="shared" si="144"/>
        <v/>
      </c>
      <c r="J134" s="128"/>
      <c r="K134" s="128">
        <f t="shared" si="145"/>
        <v>0</v>
      </c>
      <c r="L134" s="146" t="str">
        <f t="shared" si="151"/>
        <v/>
      </c>
      <c r="M134" s="145" t="b">
        <f>IF(H134&gt;3,(ISERROR(VLOOKUP(L134,L$129:L133,1,FALSE))),FALSE)</f>
        <v>0</v>
      </c>
      <c r="N134" s="145" t="str">
        <f t="shared" si="146"/>
        <v/>
      </c>
      <c r="O134" s="9"/>
      <c r="P134" s="151" t="str">
        <f t="shared" si="147"/>
        <v/>
      </c>
      <c r="Q134" s="151" t="b">
        <f>IF(K134&gt;2,(ISERROR(VLOOKUP(P134,P$129:P133,1,FALSE))),FALSE)</f>
        <v>0</v>
      </c>
      <c r="R134" s="151" t="str">
        <f t="shared" si="148"/>
        <v/>
      </c>
      <c r="S134" s="166" t="str">
        <f t="shared" si="149"/>
        <v/>
      </c>
      <c r="T134" s="166" t="b">
        <f>IF(AND(H134&gt;0,H134&lt;3),(ISERROR(VLOOKUP(S134,S$129:S133,1,FALSE))),FALSE)</f>
        <v>0</v>
      </c>
      <c r="U134" s="166" t="str">
        <f t="shared" si="150"/>
        <v/>
      </c>
      <c r="V134" s="9"/>
      <c r="W134" s="9"/>
      <c r="X134" s="9"/>
      <c r="Y134" s="37"/>
      <c r="Z134" s="9"/>
      <c r="AA134" s="9"/>
      <c r="AB134" s="9"/>
      <c r="AF134" s="27"/>
      <c r="AQ134" s="1"/>
      <c r="AR134" s="1"/>
      <c r="AS134" s="1"/>
      <c r="AT134" s="1"/>
      <c r="BG134" s="1"/>
      <c r="BH134" s="1"/>
    </row>
    <row r="135" spans="1:60" ht="13.5" hidden="1" x14ac:dyDescent="0.25">
      <c r="A135" s="259"/>
      <c r="B135" s="398"/>
      <c r="C135" s="136" t="str">
        <f t="shared" si="139"/>
        <v/>
      </c>
      <c r="D135" s="133" t="str">
        <f t="shared" si="140"/>
        <v/>
      </c>
      <c r="E135" s="128" t="str">
        <f t="shared" si="141"/>
        <v/>
      </c>
      <c r="F135" s="128" t="str">
        <f t="shared" si="142"/>
        <v/>
      </c>
      <c r="G135" s="128"/>
      <c r="H135" s="128">
        <f t="shared" si="143"/>
        <v>0</v>
      </c>
      <c r="I135" s="128" t="str">
        <f t="shared" si="144"/>
        <v/>
      </c>
      <c r="J135" s="128"/>
      <c r="K135" s="128">
        <f t="shared" si="145"/>
        <v>0</v>
      </c>
      <c r="L135" s="146" t="str">
        <f t="shared" si="151"/>
        <v/>
      </c>
      <c r="M135" s="145" t="b">
        <f>IF(H135&gt;3,(ISERROR(VLOOKUP(L135,L$129:L134,1,FALSE))),FALSE)</f>
        <v>0</v>
      </c>
      <c r="N135" s="145" t="str">
        <f t="shared" si="146"/>
        <v/>
      </c>
      <c r="O135" s="9"/>
      <c r="P135" s="151" t="str">
        <f t="shared" si="147"/>
        <v/>
      </c>
      <c r="Q135" s="151" t="b">
        <f>IF(K135&gt;2,(ISERROR(VLOOKUP(P135,P$129:P134,1,FALSE))),FALSE)</f>
        <v>0</v>
      </c>
      <c r="R135" s="151" t="str">
        <f t="shared" si="148"/>
        <v/>
      </c>
      <c r="S135" s="166" t="str">
        <f t="shared" si="149"/>
        <v/>
      </c>
      <c r="T135" s="166" t="b">
        <f>IF(AND(H135&gt;0,H135&lt;3),(ISERROR(VLOOKUP(S135,S$129:S134,1,FALSE))),FALSE)</f>
        <v>0</v>
      </c>
      <c r="U135" s="166" t="str">
        <f t="shared" si="150"/>
        <v/>
      </c>
      <c r="V135" s="9"/>
      <c r="W135" s="9"/>
      <c r="X135" s="9"/>
      <c r="Y135" s="37"/>
      <c r="Z135" s="9"/>
      <c r="AA135" s="9"/>
      <c r="AB135" s="9"/>
      <c r="AF135" s="27"/>
      <c r="AQ135" s="1"/>
      <c r="AR135" s="1"/>
      <c r="AS135" s="1"/>
      <c r="AT135" s="1"/>
      <c r="BG135" s="1"/>
      <c r="BH135" s="1"/>
    </row>
    <row r="136" spans="1:60" ht="13.5" hidden="1" x14ac:dyDescent="0.25">
      <c r="A136" s="259"/>
      <c r="B136" s="398"/>
      <c r="C136" s="136" t="str">
        <f t="shared" si="139"/>
        <v/>
      </c>
      <c r="D136" s="133" t="str">
        <f t="shared" si="140"/>
        <v/>
      </c>
      <c r="E136" s="128" t="str">
        <f t="shared" si="141"/>
        <v/>
      </c>
      <c r="F136" s="128" t="str">
        <f t="shared" si="142"/>
        <v/>
      </c>
      <c r="G136" s="128"/>
      <c r="H136" s="128">
        <f t="shared" si="143"/>
        <v>0</v>
      </c>
      <c r="I136" s="128" t="str">
        <f t="shared" si="144"/>
        <v/>
      </c>
      <c r="J136" s="128"/>
      <c r="K136" s="128">
        <f t="shared" si="145"/>
        <v>0</v>
      </c>
      <c r="L136" s="146" t="str">
        <f t="shared" si="151"/>
        <v/>
      </c>
      <c r="M136" s="145" t="b">
        <f>IF(H136&gt;3,(ISERROR(VLOOKUP(L136,L$129:L135,1,FALSE))),FALSE)</f>
        <v>0</v>
      </c>
      <c r="N136" s="145" t="str">
        <f t="shared" si="146"/>
        <v/>
      </c>
      <c r="O136" s="9"/>
      <c r="P136" s="151" t="str">
        <f t="shared" si="147"/>
        <v/>
      </c>
      <c r="Q136" s="151" t="b">
        <f>IF(K136&gt;2,(ISERROR(VLOOKUP(P136,P$129:P135,1,FALSE))),FALSE)</f>
        <v>0</v>
      </c>
      <c r="R136" s="151" t="str">
        <f t="shared" si="148"/>
        <v/>
      </c>
      <c r="S136" s="166" t="str">
        <f t="shared" si="149"/>
        <v/>
      </c>
      <c r="T136" s="166" t="b">
        <f>IF(AND(H136&gt;0,H136&lt;3),(ISERROR(VLOOKUP(S136,S$129:S135,1,FALSE))),FALSE)</f>
        <v>0</v>
      </c>
      <c r="U136" s="166" t="str">
        <f t="shared" si="150"/>
        <v/>
      </c>
      <c r="V136" s="9"/>
      <c r="W136" s="9"/>
      <c r="X136" s="9"/>
      <c r="Y136" s="37"/>
      <c r="Z136" s="9"/>
      <c r="AA136" s="9"/>
      <c r="AB136" s="9"/>
      <c r="AF136" s="27"/>
      <c r="AQ136" s="1"/>
      <c r="AR136" s="1"/>
      <c r="AS136" s="1"/>
      <c r="AT136" s="1"/>
      <c r="BG136" s="1"/>
      <c r="BH136" s="1"/>
    </row>
    <row r="137" spans="1:60" ht="13.5" hidden="1" x14ac:dyDescent="0.25">
      <c r="A137" s="259"/>
      <c r="B137" s="398"/>
      <c r="C137" s="136" t="str">
        <f t="shared" si="139"/>
        <v/>
      </c>
      <c r="D137" s="133" t="str">
        <f t="shared" si="140"/>
        <v/>
      </c>
      <c r="E137" s="128" t="str">
        <f t="shared" si="141"/>
        <v/>
      </c>
      <c r="F137" s="128" t="str">
        <f t="shared" si="142"/>
        <v/>
      </c>
      <c r="G137" s="128"/>
      <c r="H137" s="128">
        <f t="shared" si="143"/>
        <v>0</v>
      </c>
      <c r="I137" s="128" t="str">
        <f t="shared" si="144"/>
        <v/>
      </c>
      <c r="J137" s="128"/>
      <c r="K137" s="128">
        <f t="shared" si="145"/>
        <v>0</v>
      </c>
      <c r="L137" s="146" t="str">
        <f t="shared" si="151"/>
        <v/>
      </c>
      <c r="M137" s="145" t="b">
        <f>IF(H137&gt;3,(ISERROR(VLOOKUP(L137,L$129:L136,1,FALSE))),FALSE)</f>
        <v>0</v>
      </c>
      <c r="N137" s="145" t="str">
        <f t="shared" si="146"/>
        <v/>
      </c>
      <c r="O137" s="9"/>
      <c r="P137" s="151" t="str">
        <f t="shared" si="147"/>
        <v/>
      </c>
      <c r="Q137" s="151" t="b">
        <f>IF(K137&gt;2,(ISERROR(VLOOKUP(P137,P$129:P136,1,FALSE))),FALSE)</f>
        <v>0</v>
      </c>
      <c r="R137" s="151" t="str">
        <f t="shared" si="148"/>
        <v/>
      </c>
      <c r="S137" s="166" t="str">
        <f t="shared" si="149"/>
        <v/>
      </c>
      <c r="T137" s="166" t="b">
        <f>IF(AND(H137&gt;0,H137&lt;3),(ISERROR(VLOOKUP(S137,S$129:S136,1,FALSE))),FALSE)</f>
        <v>0</v>
      </c>
      <c r="U137" s="166" t="str">
        <f t="shared" si="150"/>
        <v/>
      </c>
      <c r="V137" s="9"/>
      <c r="W137" s="9"/>
      <c r="X137" s="9"/>
      <c r="Y137" s="37"/>
      <c r="Z137" s="9"/>
      <c r="AA137" s="9"/>
      <c r="AB137" s="9"/>
      <c r="AF137" s="27"/>
      <c r="AQ137" s="1"/>
      <c r="AR137" s="1"/>
      <c r="AS137" s="1"/>
      <c r="AT137" s="1"/>
      <c r="BG137" s="1"/>
      <c r="BH137" s="1"/>
    </row>
    <row r="138" spans="1:60" ht="13.5" hidden="1" x14ac:dyDescent="0.25">
      <c r="A138" s="259"/>
      <c r="B138" s="398"/>
      <c r="C138" s="136" t="str">
        <f t="shared" si="139"/>
        <v/>
      </c>
      <c r="D138" s="133" t="str">
        <f t="shared" si="140"/>
        <v/>
      </c>
      <c r="E138" s="128" t="str">
        <f t="shared" si="141"/>
        <v/>
      </c>
      <c r="F138" s="128" t="str">
        <f t="shared" si="142"/>
        <v/>
      </c>
      <c r="G138" s="128"/>
      <c r="H138" s="128">
        <f t="shared" si="143"/>
        <v>0</v>
      </c>
      <c r="I138" s="128" t="str">
        <f t="shared" si="144"/>
        <v/>
      </c>
      <c r="J138" s="128"/>
      <c r="K138" s="128">
        <f t="shared" si="145"/>
        <v>0</v>
      </c>
      <c r="L138" s="146" t="str">
        <f t="shared" si="151"/>
        <v/>
      </c>
      <c r="M138" s="145" t="b">
        <f>IF(H138&gt;3,(ISERROR(VLOOKUP(L138,L$129:L137,1,FALSE))),FALSE)</f>
        <v>0</v>
      </c>
      <c r="N138" s="145" t="str">
        <f t="shared" si="146"/>
        <v/>
      </c>
      <c r="O138" s="9"/>
      <c r="P138" s="151" t="str">
        <f t="shared" si="147"/>
        <v/>
      </c>
      <c r="Q138" s="151" t="b">
        <f>IF(K138&gt;2,(ISERROR(VLOOKUP(P138,P$129:P137,1,FALSE))),FALSE)</f>
        <v>0</v>
      </c>
      <c r="R138" s="151" t="str">
        <f t="shared" si="148"/>
        <v/>
      </c>
      <c r="S138" s="166" t="str">
        <f t="shared" si="149"/>
        <v/>
      </c>
      <c r="T138" s="166" t="b">
        <f>IF(AND(H138&gt;0,H138&lt;3),(ISERROR(VLOOKUP(S138,S$129:S137,1,FALSE))),FALSE)</f>
        <v>0</v>
      </c>
      <c r="U138" s="166" t="str">
        <f t="shared" si="150"/>
        <v/>
      </c>
      <c r="V138" s="9"/>
      <c r="W138" s="9"/>
      <c r="X138" s="9"/>
      <c r="Y138" s="37"/>
      <c r="Z138" s="9"/>
      <c r="AA138" s="9"/>
      <c r="AB138" s="9"/>
      <c r="AF138" s="27"/>
      <c r="AQ138" s="1"/>
      <c r="AR138" s="1"/>
      <c r="AS138" s="1"/>
      <c r="AT138" s="1"/>
      <c r="BG138" s="1"/>
      <c r="BH138" s="1"/>
    </row>
    <row r="139" spans="1:60" ht="13.5" hidden="1" x14ac:dyDescent="0.25">
      <c r="A139" s="259"/>
      <c r="B139" s="398"/>
      <c r="C139" s="136" t="str">
        <f t="shared" si="139"/>
        <v/>
      </c>
      <c r="D139" s="133" t="str">
        <f t="shared" si="140"/>
        <v/>
      </c>
      <c r="E139" s="128" t="str">
        <f t="shared" si="141"/>
        <v/>
      </c>
      <c r="F139" s="128" t="str">
        <f t="shared" si="142"/>
        <v/>
      </c>
      <c r="G139" s="128"/>
      <c r="H139" s="128">
        <f t="shared" si="143"/>
        <v>0</v>
      </c>
      <c r="I139" s="128" t="str">
        <f t="shared" si="144"/>
        <v/>
      </c>
      <c r="J139" s="128"/>
      <c r="K139" s="128">
        <f t="shared" si="145"/>
        <v>0</v>
      </c>
      <c r="L139" s="146" t="str">
        <f t="shared" si="151"/>
        <v/>
      </c>
      <c r="M139" s="145" t="b">
        <f>IF(H139&gt;3,(ISERROR(VLOOKUP(L139,L$129:L138,1,FALSE))),FALSE)</f>
        <v>0</v>
      </c>
      <c r="N139" s="145" t="str">
        <f t="shared" si="146"/>
        <v/>
      </c>
      <c r="O139" s="9"/>
      <c r="P139" s="151" t="str">
        <f t="shared" si="147"/>
        <v/>
      </c>
      <c r="Q139" s="151" t="b">
        <f>IF(K139&gt;2,(ISERROR(VLOOKUP(P139,P$129:P138,1,FALSE))),FALSE)</f>
        <v>0</v>
      </c>
      <c r="R139" s="151" t="str">
        <f t="shared" si="148"/>
        <v/>
      </c>
      <c r="S139" s="166" t="str">
        <f t="shared" si="149"/>
        <v/>
      </c>
      <c r="T139" s="166" t="b">
        <f>IF(AND(H139&gt;0,H139&lt;3),(ISERROR(VLOOKUP(S139,S$129:S138,1,FALSE))),FALSE)</f>
        <v>0</v>
      </c>
      <c r="U139" s="166" t="str">
        <f t="shared" si="150"/>
        <v/>
      </c>
      <c r="V139" s="9"/>
      <c r="W139" s="9"/>
      <c r="X139" s="9"/>
      <c r="Y139" s="37"/>
      <c r="Z139" s="9"/>
      <c r="AA139" s="9"/>
      <c r="AB139" s="9"/>
      <c r="AF139" s="27"/>
      <c r="AQ139" s="1"/>
      <c r="AR139" s="1"/>
      <c r="AS139" s="1"/>
      <c r="AT139" s="1"/>
      <c r="BG139" s="1"/>
      <c r="BH139" s="1"/>
    </row>
    <row r="140" spans="1:60" ht="13.5" hidden="1" x14ac:dyDescent="0.25">
      <c r="A140" s="259"/>
      <c r="B140" s="398"/>
      <c r="C140" s="136" t="str">
        <f t="shared" si="139"/>
        <v/>
      </c>
      <c r="D140" s="133" t="str">
        <f t="shared" si="140"/>
        <v/>
      </c>
      <c r="E140" s="128" t="str">
        <f t="shared" si="141"/>
        <v/>
      </c>
      <c r="F140" s="128" t="str">
        <f t="shared" si="142"/>
        <v/>
      </c>
      <c r="G140" s="128"/>
      <c r="H140" s="128">
        <f t="shared" si="143"/>
        <v>0</v>
      </c>
      <c r="I140" s="128" t="str">
        <f t="shared" si="144"/>
        <v/>
      </c>
      <c r="J140" s="128"/>
      <c r="K140" s="128">
        <f t="shared" si="145"/>
        <v>0</v>
      </c>
      <c r="L140" s="146" t="str">
        <f t="shared" si="151"/>
        <v/>
      </c>
      <c r="M140" s="145" t="b">
        <f>IF(H140&gt;3,(ISERROR(VLOOKUP(L140,L$129:L139,1,FALSE))),FALSE)</f>
        <v>0</v>
      </c>
      <c r="N140" s="145" t="str">
        <f t="shared" si="146"/>
        <v/>
      </c>
      <c r="O140" s="9"/>
      <c r="P140" s="151" t="str">
        <f t="shared" si="147"/>
        <v/>
      </c>
      <c r="Q140" s="151" t="b">
        <f>IF(K140&gt;2,(ISERROR(VLOOKUP(P140,P$129:P139,1,FALSE))),FALSE)</f>
        <v>0</v>
      </c>
      <c r="R140" s="151" t="str">
        <f t="shared" si="148"/>
        <v/>
      </c>
      <c r="S140" s="166" t="str">
        <f t="shared" si="149"/>
        <v/>
      </c>
      <c r="T140" s="166" t="b">
        <f>IF(AND(H140&gt;0,H140&lt;3),(ISERROR(VLOOKUP(S140,S$129:S139,1,FALSE))),FALSE)</f>
        <v>0</v>
      </c>
      <c r="U140" s="166" t="str">
        <f t="shared" si="150"/>
        <v/>
      </c>
      <c r="V140" s="9"/>
      <c r="W140" s="9"/>
      <c r="X140" s="9"/>
      <c r="Y140" s="37"/>
      <c r="Z140" s="9"/>
      <c r="AA140" s="9"/>
      <c r="AB140" s="9"/>
      <c r="AF140" s="27"/>
      <c r="AQ140" s="1"/>
      <c r="AR140" s="1"/>
      <c r="AS140" s="1"/>
      <c r="AT140" s="1"/>
      <c r="BG140" s="1"/>
      <c r="BH140" s="1"/>
    </row>
    <row r="141" spans="1:60" ht="13.5" hidden="1" x14ac:dyDescent="0.25">
      <c r="A141" s="259"/>
      <c r="B141" s="398"/>
      <c r="C141" s="136" t="str">
        <f t="shared" si="139"/>
        <v/>
      </c>
      <c r="D141" s="133" t="str">
        <f t="shared" si="140"/>
        <v/>
      </c>
      <c r="E141" s="128" t="str">
        <f t="shared" si="141"/>
        <v/>
      </c>
      <c r="F141" s="128" t="str">
        <f t="shared" si="142"/>
        <v/>
      </c>
      <c r="G141" s="128"/>
      <c r="H141" s="128">
        <f t="shared" si="143"/>
        <v>0</v>
      </c>
      <c r="I141" s="128" t="str">
        <f t="shared" si="144"/>
        <v/>
      </c>
      <c r="J141" s="128"/>
      <c r="K141" s="128">
        <f t="shared" si="145"/>
        <v>0</v>
      </c>
      <c r="L141" s="146" t="str">
        <f t="shared" si="151"/>
        <v/>
      </c>
      <c r="M141" s="145" t="b">
        <f>IF(H141&gt;3,(ISERROR(VLOOKUP(L141,L$129:L140,1,FALSE))),FALSE)</f>
        <v>0</v>
      </c>
      <c r="N141" s="145" t="str">
        <f t="shared" si="146"/>
        <v/>
      </c>
      <c r="O141" s="9"/>
      <c r="P141" s="151" t="str">
        <f t="shared" si="147"/>
        <v/>
      </c>
      <c r="Q141" s="151" t="b">
        <f>IF(K141&gt;2,(ISERROR(VLOOKUP(P141,P$129:P140,1,FALSE))),FALSE)</f>
        <v>0</v>
      </c>
      <c r="R141" s="151" t="str">
        <f t="shared" si="148"/>
        <v/>
      </c>
      <c r="S141" s="166" t="str">
        <f t="shared" si="149"/>
        <v/>
      </c>
      <c r="T141" s="166" t="b">
        <f>IF(AND(H141&gt;0,H141&lt;3),(ISERROR(VLOOKUP(S141,S$129:S140,1,FALSE))),FALSE)</f>
        <v>0</v>
      </c>
      <c r="U141" s="166" t="str">
        <f t="shared" si="150"/>
        <v/>
      </c>
      <c r="V141" s="9"/>
      <c r="W141" s="9"/>
      <c r="X141" s="9"/>
      <c r="Y141" s="37"/>
      <c r="Z141" s="9"/>
      <c r="AA141" s="9"/>
      <c r="AB141" s="9"/>
      <c r="AF141" s="27"/>
      <c r="AQ141" s="1"/>
      <c r="AR141" s="1"/>
      <c r="AS141" s="1"/>
      <c r="AT141" s="1"/>
      <c r="BG141" s="1"/>
      <c r="BH141" s="1"/>
    </row>
    <row r="142" spans="1:60" ht="13.5" hidden="1" x14ac:dyDescent="0.25">
      <c r="A142" s="259"/>
      <c r="B142" s="398"/>
      <c r="C142" s="136" t="str">
        <f t="shared" si="139"/>
        <v/>
      </c>
      <c r="D142" s="133" t="str">
        <f t="shared" si="140"/>
        <v/>
      </c>
      <c r="E142" s="128" t="str">
        <f t="shared" si="141"/>
        <v/>
      </c>
      <c r="F142" s="128" t="str">
        <f t="shared" si="142"/>
        <v/>
      </c>
      <c r="G142" s="128"/>
      <c r="H142" s="128">
        <f t="shared" si="143"/>
        <v>0</v>
      </c>
      <c r="I142" s="128" t="str">
        <f t="shared" si="144"/>
        <v/>
      </c>
      <c r="J142" s="128"/>
      <c r="K142" s="128">
        <f t="shared" si="145"/>
        <v>0</v>
      </c>
      <c r="L142" s="146" t="str">
        <f t="shared" si="151"/>
        <v/>
      </c>
      <c r="M142" s="145" t="b">
        <f>IF(H142&gt;3,(ISERROR(VLOOKUP(L142,L$129:L141,1,FALSE))),FALSE)</f>
        <v>0</v>
      </c>
      <c r="N142" s="145" t="str">
        <f t="shared" si="146"/>
        <v/>
      </c>
      <c r="O142" s="9"/>
      <c r="P142" s="151" t="str">
        <f t="shared" si="147"/>
        <v/>
      </c>
      <c r="Q142" s="151" t="b">
        <f>IF(K142&gt;2,(ISERROR(VLOOKUP(P142,P$129:P141,1,FALSE))),FALSE)</f>
        <v>0</v>
      </c>
      <c r="R142" s="151" t="str">
        <f t="shared" si="148"/>
        <v/>
      </c>
      <c r="S142" s="166" t="str">
        <f t="shared" si="149"/>
        <v/>
      </c>
      <c r="T142" s="166" t="b">
        <f>IF(AND(H142&gt;0,H142&lt;3),(ISERROR(VLOOKUP(S142,S$129:S141,1,FALSE))),FALSE)</f>
        <v>0</v>
      </c>
      <c r="U142" s="166" t="str">
        <f t="shared" si="150"/>
        <v/>
      </c>
      <c r="V142" s="9"/>
      <c r="W142" s="9"/>
      <c r="X142" s="9"/>
      <c r="Y142" s="37"/>
      <c r="Z142" s="9"/>
      <c r="AA142" s="9"/>
      <c r="AB142" s="9"/>
      <c r="AF142" s="27"/>
      <c r="AQ142" s="1"/>
      <c r="AR142" s="1"/>
      <c r="AS142" s="1"/>
      <c r="AT142" s="1"/>
      <c r="BG142" s="1"/>
      <c r="BH142" s="1"/>
    </row>
    <row r="143" spans="1:60" ht="13.5" hidden="1" x14ac:dyDescent="0.25">
      <c r="A143" s="259"/>
      <c r="B143" s="398"/>
      <c r="C143" s="136" t="str">
        <f t="shared" si="139"/>
        <v/>
      </c>
      <c r="D143" s="133" t="str">
        <f t="shared" si="140"/>
        <v/>
      </c>
      <c r="E143" s="128" t="str">
        <f t="shared" si="141"/>
        <v/>
      </c>
      <c r="F143" s="128" t="str">
        <f t="shared" si="142"/>
        <v/>
      </c>
      <c r="G143" s="128"/>
      <c r="H143" s="128">
        <f t="shared" si="143"/>
        <v>0</v>
      </c>
      <c r="I143" s="128" t="str">
        <f t="shared" si="144"/>
        <v/>
      </c>
      <c r="J143" s="128"/>
      <c r="K143" s="128">
        <f t="shared" si="145"/>
        <v>0</v>
      </c>
      <c r="L143" s="146" t="str">
        <f t="shared" si="151"/>
        <v/>
      </c>
      <c r="M143" s="145" t="b">
        <f>IF(H143&gt;3,(ISERROR(VLOOKUP(L143,L$129:L142,1,FALSE))),FALSE)</f>
        <v>0</v>
      </c>
      <c r="N143" s="145" t="str">
        <f t="shared" si="146"/>
        <v/>
      </c>
      <c r="O143" s="9"/>
      <c r="P143" s="151" t="str">
        <f t="shared" si="147"/>
        <v/>
      </c>
      <c r="Q143" s="151" t="b">
        <f>IF(K143&gt;2,(ISERROR(VLOOKUP(P143,P$129:P142,1,FALSE))),FALSE)</f>
        <v>0</v>
      </c>
      <c r="R143" s="151" t="str">
        <f t="shared" si="148"/>
        <v/>
      </c>
      <c r="S143" s="166" t="str">
        <f t="shared" si="149"/>
        <v/>
      </c>
      <c r="T143" s="166" t="b">
        <f>IF(AND(H143&gt;0,H143&lt;3),(ISERROR(VLOOKUP(S143,S$129:S142,1,FALSE))),FALSE)</f>
        <v>0</v>
      </c>
      <c r="U143" s="166" t="str">
        <f t="shared" si="150"/>
        <v/>
      </c>
      <c r="V143" s="9"/>
      <c r="W143" s="9"/>
      <c r="X143" s="9"/>
      <c r="Y143" s="37"/>
      <c r="Z143" s="9"/>
      <c r="AA143" s="9"/>
      <c r="AB143" s="9"/>
      <c r="AF143" s="27"/>
      <c r="AQ143" s="1"/>
      <c r="AR143" s="1"/>
      <c r="AS143" s="1"/>
      <c r="AT143" s="1"/>
      <c r="BG143" s="1"/>
      <c r="BH143" s="1"/>
    </row>
    <row r="144" spans="1:60" ht="13.5" hidden="1" x14ac:dyDescent="0.25">
      <c r="A144" s="259"/>
      <c r="B144" s="398"/>
      <c r="C144" s="136" t="str">
        <f t="shared" si="139"/>
        <v/>
      </c>
      <c r="D144" s="133" t="str">
        <f t="shared" si="140"/>
        <v/>
      </c>
      <c r="E144" s="128" t="str">
        <f t="shared" si="141"/>
        <v/>
      </c>
      <c r="F144" s="128" t="str">
        <f t="shared" si="142"/>
        <v/>
      </c>
      <c r="G144" s="128"/>
      <c r="H144" s="128">
        <f t="shared" si="143"/>
        <v>0</v>
      </c>
      <c r="I144" s="128" t="str">
        <f t="shared" si="144"/>
        <v/>
      </c>
      <c r="J144" s="128"/>
      <c r="K144" s="128">
        <f t="shared" si="145"/>
        <v>0</v>
      </c>
      <c r="L144" s="146" t="str">
        <f t="shared" si="151"/>
        <v/>
      </c>
      <c r="M144" s="145" t="b">
        <f>IF(H144&gt;3,(ISERROR(VLOOKUP(L144,L$129:L143,1,FALSE))),FALSE)</f>
        <v>0</v>
      </c>
      <c r="N144" s="145" t="str">
        <f t="shared" si="146"/>
        <v/>
      </c>
      <c r="O144" s="9"/>
      <c r="P144" s="151" t="str">
        <f t="shared" si="147"/>
        <v/>
      </c>
      <c r="Q144" s="151" t="b">
        <f>IF(K144&gt;2,(ISERROR(VLOOKUP(P144,P$129:P143,1,FALSE))),FALSE)</f>
        <v>0</v>
      </c>
      <c r="R144" s="151" t="str">
        <f t="shared" si="148"/>
        <v/>
      </c>
      <c r="S144" s="166" t="str">
        <f t="shared" si="149"/>
        <v/>
      </c>
      <c r="T144" s="166" t="b">
        <f>IF(AND(H144&gt;0,H144&lt;3),(ISERROR(VLOOKUP(S144,S$129:S143,1,FALSE))),FALSE)</f>
        <v>0</v>
      </c>
      <c r="U144" s="166" t="str">
        <f t="shared" si="150"/>
        <v/>
      </c>
      <c r="V144" s="9"/>
      <c r="W144" s="9"/>
      <c r="X144" s="9"/>
      <c r="Y144" s="37"/>
      <c r="Z144" s="9"/>
      <c r="AA144" s="9"/>
      <c r="AB144" s="9"/>
      <c r="AF144" s="27"/>
      <c r="AQ144" s="1"/>
      <c r="AR144" s="1"/>
      <c r="AS144" s="1"/>
      <c r="AT144" s="1"/>
      <c r="BG144" s="1"/>
      <c r="BH144" s="1"/>
    </row>
    <row r="145" spans="1:60" ht="13.5" hidden="1" x14ac:dyDescent="0.25">
      <c r="A145" s="259"/>
      <c r="B145" s="398"/>
      <c r="C145" s="136" t="str">
        <f t="shared" si="139"/>
        <v/>
      </c>
      <c r="D145" s="133" t="str">
        <f t="shared" si="140"/>
        <v/>
      </c>
      <c r="E145" s="128" t="str">
        <f t="shared" si="141"/>
        <v/>
      </c>
      <c r="F145" s="128" t="str">
        <f t="shared" si="142"/>
        <v/>
      </c>
      <c r="G145" s="128"/>
      <c r="H145" s="128">
        <f t="shared" si="143"/>
        <v>0</v>
      </c>
      <c r="I145" s="128" t="str">
        <f t="shared" si="144"/>
        <v/>
      </c>
      <c r="J145" s="128"/>
      <c r="K145" s="128">
        <f t="shared" si="145"/>
        <v>0</v>
      </c>
      <c r="L145" s="146" t="str">
        <f t="shared" si="151"/>
        <v/>
      </c>
      <c r="M145" s="145" t="b">
        <f>IF(H145&gt;3,(ISERROR(VLOOKUP(L145,L$129:L144,1,FALSE))),FALSE)</f>
        <v>0</v>
      </c>
      <c r="N145" s="145" t="str">
        <f t="shared" si="146"/>
        <v/>
      </c>
      <c r="O145" s="9"/>
      <c r="P145" s="151" t="str">
        <f t="shared" si="147"/>
        <v/>
      </c>
      <c r="Q145" s="151" t="b">
        <f>IF(K145&gt;2,(ISERROR(VLOOKUP(P145,P$129:P144,1,FALSE))),FALSE)</f>
        <v>0</v>
      </c>
      <c r="R145" s="151" t="str">
        <f t="shared" si="148"/>
        <v/>
      </c>
      <c r="S145" s="166" t="str">
        <f t="shared" si="149"/>
        <v/>
      </c>
      <c r="T145" s="166" t="b">
        <f>IF(AND(H145&gt;0,H145&lt;3),(ISERROR(VLOOKUP(S145,S$129:S144,1,FALSE))),FALSE)</f>
        <v>0</v>
      </c>
      <c r="U145" s="166" t="str">
        <f t="shared" si="150"/>
        <v/>
      </c>
      <c r="V145" s="9"/>
      <c r="W145" s="9"/>
      <c r="X145" s="9"/>
      <c r="Y145" s="37"/>
      <c r="Z145" s="9"/>
      <c r="AA145" s="9"/>
      <c r="AB145" s="9"/>
      <c r="AF145" s="27"/>
      <c r="AQ145" s="1"/>
      <c r="AR145" s="1"/>
      <c r="AS145" s="1"/>
      <c r="AT145" s="1"/>
      <c r="BG145" s="1"/>
      <c r="BH145" s="1"/>
    </row>
    <row r="146" spans="1:60" ht="13.5" hidden="1" x14ac:dyDescent="0.25">
      <c r="A146" s="259"/>
      <c r="B146" s="398"/>
      <c r="C146" s="136" t="str">
        <f t="shared" si="139"/>
        <v/>
      </c>
      <c r="D146" s="133" t="str">
        <f t="shared" si="140"/>
        <v/>
      </c>
      <c r="E146" s="128" t="str">
        <f t="shared" si="141"/>
        <v/>
      </c>
      <c r="F146" s="128" t="str">
        <f t="shared" si="142"/>
        <v/>
      </c>
      <c r="G146" s="128"/>
      <c r="H146" s="128">
        <f t="shared" si="143"/>
        <v>0</v>
      </c>
      <c r="I146" s="128" t="str">
        <f t="shared" si="144"/>
        <v/>
      </c>
      <c r="J146" s="128"/>
      <c r="K146" s="128">
        <f t="shared" si="145"/>
        <v>0</v>
      </c>
      <c r="L146" s="146" t="str">
        <f t="shared" si="151"/>
        <v/>
      </c>
      <c r="M146" s="145" t="b">
        <f>IF(H146&gt;3,(ISERROR(VLOOKUP(L146,L$129:L145,1,FALSE))),FALSE)</f>
        <v>0</v>
      </c>
      <c r="N146" s="145" t="str">
        <f t="shared" si="146"/>
        <v/>
      </c>
      <c r="O146" s="9"/>
      <c r="P146" s="151" t="str">
        <f t="shared" si="147"/>
        <v/>
      </c>
      <c r="Q146" s="151" t="b">
        <f>IF(K146&gt;2,(ISERROR(VLOOKUP(P146,P$129:P145,1,FALSE))),FALSE)</f>
        <v>0</v>
      </c>
      <c r="R146" s="151" t="str">
        <f t="shared" si="148"/>
        <v/>
      </c>
      <c r="S146" s="166" t="str">
        <f t="shared" si="149"/>
        <v/>
      </c>
      <c r="T146" s="166" t="b">
        <f>IF(AND(H146&gt;0,H146&lt;3),(ISERROR(VLOOKUP(S146,S$129:S145,1,FALSE))),FALSE)</f>
        <v>0</v>
      </c>
      <c r="U146" s="166" t="str">
        <f t="shared" si="150"/>
        <v/>
      </c>
      <c r="V146" s="9"/>
      <c r="W146" s="9"/>
      <c r="X146" s="9"/>
      <c r="Y146" s="37"/>
      <c r="Z146" s="9"/>
      <c r="AA146" s="9"/>
      <c r="AB146" s="9"/>
      <c r="AF146" s="27"/>
      <c r="AQ146" s="1"/>
      <c r="AR146" s="1"/>
      <c r="AS146" s="1"/>
      <c r="AT146" s="1"/>
      <c r="BG146" s="1"/>
      <c r="BH146" s="1"/>
    </row>
    <row r="147" spans="1:60" ht="13.5" hidden="1" x14ac:dyDescent="0.25">
      <c r="A147" s="259"/>
      <c r="B147" s="398"/>
      <c r="C147" s="136" t="str">
        <f t="shared" si="139"/>
        <v/>
      </c>
      <c r="D147" s="133" t="str">
        <f t="shared" si="140"/>
        <v/>
      </c>
      <c r="E147" s="128" t="str">
        <f t="shared" si="141"/>
        <v/>
      </c>
      <c r="F147" s="128" t="str">
        <f t="shared" si="142"/>
        <v/>
      </c>
      <c r="G147" s="128"/>
      <c r="H147" s="128">
        <f t="shared" si="143"/>
        <v>0</v>
      </c>
      <c r="I147" s="128" t="str">
        <f t="shared" si="144"/>
        <v/>
      </c>
      <c r="J147" s="128"/>
      <c r="K147" s="128">
        <f t="shared" si="145"/>
        <v>0</v>
      </c>
      <c r="L147" s="146" t="str">
        <f t="shared" si="151"/>
        <v/>
      </c>
      <c r="M147" s="145" t="b">
        <f>IF(H147&gt;3,(ISERROR(VLOOKUP(L147,L$129:L146,1,FALSE))),FALSE)</f>
        <v>0</v>
      </c>
      <c r="N147" s="145" t="str">
        <f t="shared" si="146"/>
        <v/>
      </c>
      <c r="O147" s="9"/>
      <c r="P147" s="151" t="str">
        <f t="shared" si="147"/>
        <v/>
      </c>
      <c r="Q147" s="151" t="b">
        <f>IF(K147&gt;2,(ISERROR(VLOOKUP(P147,P$129:P146,1,FALSE))),FALSE)</f>
        <v>0</v>
      </c>
      <c r="R147" s="151" t="str">
        <f t="shared" si="148"/>
        <v/>
      </c>
      <c r="S147" s="166" t="str">
        <f t="shared" si="149"/>
        <v/>
      </c>
      <c r="T147" s="166" t="b">
        <f>IF(AND(H147&gt;0,H147&lt;3),(ISERROR(VLOOKUP(S147,S$129:S146,1,FALSE))),FALSE)</f>
        <v>0</v>
      </c>
      <c r="U147" s="166" t="str">
        <f t="shared" si="150"/>
        <v/>
      </c>
      <c r="V147" s="9"/>
      <c r="W147" s="9"/>
      <c r="X147" s="9"/>
      <c r="Y147" s="37"/>
      <c r="Z147" s="9"/>
      <c r="AA147" s="9"/>
      <c r="AB147" s="9"/>
      <c r="AF147" s="27"/>
      <c r="AQ147" s="1"/>
      <c r="AR147" s="1"/>
      <c r="AS147" s="1"/>
      <c r="AT147" s="1"/>
      <c r="BG147" s="1"/>
      <c r="BH147" s="1"/>
    </row>
    <row r="148" spans="1:60" ht="13.5" hidden="1" x14ac:dyDescent="0.25">
      <c r="A148" s="259"/>
      <c r="B148" s="398"/>
      <c r="C148" s="136" t="str">
        <f t="shared" si="139"/>
        <v/>
      </c>
      <c r="D148" s="133" t="str">
        <f t="shared" si="140"/>
        <v/>
      </c>
      <c r="E148" s="128" t="str">
        <f t="shared" si="141"/>
        <v/>
      </c>
      <c r="F148" s="128" t="str">
        <f t="shared" si="142"/>
        <v/>
      </c>
      <c r="G148" s="128"/>
      <c r="H148" s="128">
        <f t="shared" si="143"/>
        <v>0</v>
      </c>
      <c r="I148" s="128" t="str">
        <f t="shared" si="144"/>
        <v/>
      </c>
      <c r="J148" s="128"/>
      <c r="K148" s="128">
        <f t="shared" si="145"/>
        <v>0</v>
      </c>
      <c r="L148" s="146" t="str">
        <f t="shared" si="151"/>
        <v/>
      </c>
      <c r="M148" s="145" t="b">
        <f>IF(H148&gt;3,(ISERROR(VLOOKUP(L148,L$129:L147,1,FALSE))),FALSE)</f>
        <v>0</v>
      </c>
      <c r="N148" s="145" t="str">
        <f t="shared" si="146"/>
        <v/>
      </c>
      <c r="O148" s="9"/>
      <c r="P148" s="151" t="str">
        <f t="shared" si="147"/>
        <v/>
      </c>
      <c r="Q148" s="151" t="b">
        <f>IF(K148&gt;2,(ISERROR(VLOOKUP(P148,P$129:P147,1,FALSE))),FALSE)</f>
        <v>0</v>
      </c>
      <c r="R148" s="151" t="str">
        <f t="shared" si="148"/>
        <v/>
      </c>
      <c r="S148" s="166" t="str">
        <f t="shared" si="149"/>
        <v/>
      </c>
      <c r="T148" s="166" t="b">
        <f>IF(AND(H148&gt;0,H148&lt;3),(ISERROR(VLOOKUP(S148,S$129:S147,1,FALSE))),FALSE)</f>
        <v>0</v>
      </c>
      <c r="U148" s="166" t="str">
        <f t="shared" si="150"/>
        <v/>
      </c>
      <c r="V148" s="9"/>
      <c r="W148" s="9"/>
      <c r="X148" s="9"/>
      <c r="Y148" s="37"/>
      <c r="Z148" s="9"/>
      <c r="AA148" s="9"/>
      <c r="AB148" s="9"/>
      <c r="AF148" s="27"/>
      <c r="AQ148" s="1"/>
      <c r="AR148" s="1"/>
      <c r="AS148" s="1"/>
      <c r="AT148" s="1"/>
      <c r="BG148" s="1"/>
      <c r="BH148" s="1"/>
    </row>
    <row r="149" spans="1:60" ht="13.5" hidden="1" x14ac:dyDescent="0.25">
      <c r="A149" s="259"/>
      <c r="B149" s="398"/>
      <c r="C149" s="136" t="str">
        <f t="shared" si="139"/>
        <v/>
      </c>
      <c r="D149" s="133" t="str">
        <f t="shared" si="140"/>
        <v/>
      </c>
      <c r="E149" s="128" t="str">
        <f t="shared" si="141"/>
        <v/>
      </c>
      <c r="F149" s="128" t="str">
        <f t="shared" si="142"/>
        <v/>
      </c>
      <c r="G149" s="128"/>
      <c r="H149" s="128">
        <f t="shared" si="143"/>
        <v>0</v>
      </c>
      <c r="I149" s="128" t="str">
        <f t="shared" si="144"/>
        <v/>
      </c>
      <c r="J149" s="128"/>
      <c r="K149" s="128">
        <f t="shared" si="145"/>
        <v>0</v>
      </c>
      <c r="L149" s="146" t="str">
        <f t="shared" si="151"/>
        <v/>
      </c>
      <c r="M149" s="145" t="b">
        <f>IF(H149&gt;3,(ISERROR(VLOOKUP(L149,L$129:L148,1,FALSE))),FALSE)</f>
        <v>0</v>
      </c>
      <c r="N149" s="145" t="str">
        <f t="shared" si="146"/>
        <v/>
      </c>
      <c r="O149" s="9"/>
      <c r="P149" s="151" t="str">
        <f t="shared" si="147"/>
        <v/>
      </c>
      <c r="Q149" s="151" t="b">
        <f>IF(K149&gt;2,(ISERROR(VLOOKUP(P149,P$129:P148,1,FALSE))),FALSE)</f>
        <v>0</v>
      </c>
      <c r="R149" s="151" t="str">
        <f t="shared" si="148"/>
        <v/>
      </c>
      <c r="S149" s="166" t="str">
        <f t="shared" si="149"/>
        <v/>
      </c>
      <c r="T149" s="166" t="b">
        <f>IF(AND(H149&gt;0,H149&lt;3),(ISERROR(VLOOKUP(S149,S$129:S148,1,FALSE))),FALSE)</f>
        <v>0</v>
      </c>
      <c r="U149" s="166" t="str">
        <f t="shared" si="150"/>
        <v/>
      </c>
      <c r="V149" s="9"/>
      <c r="W149" s="9"/>
      <c r="X149" s="9"/>
      <c r="Y149" s="37"/>
      <c r="Z149" s="9"/>
      <c r="AA149" s="9"/>
      <c r="AB149" s="9"/>
      <c r="AF149" s="27"/>
      <c r="AQ149" s="1"/>
      <c r="AR149" s="1"/>
      <c r="AS149" s="1"/>
      <c r="AT149" s="1"/>
      <c r="BG149" s="1"/>
      <c r="BH149" s="1"/>
    </row>
    <row r="150" spans="1:60" ht="13.5" hidden="1" x14ac:dyDescent="0.25">
      <c r="A150" s="259"/>
      <c r="B150" s="398"/>
      <c r="C150" s="136" t="str">
        <f t="shared" si="139"/>
        <v/>
      </c>
      <c r="D150" s="133" t="str">
        <f t="shared" si="140"/>
        <v/>
      </c>
      <c r="E150" s="128" t="str">
        <f t="shared" si="141"/>
        <v/>
      </c>
      <c r="F150" s="128" t="str">
        <f t="shared" si="142"/>
        <v/>
      </c>
      <c r="G150" s="128"/>
      <c r="H150" s="128">
        <f t="shared" si="143"/>
        <v>0</v>
      </c>
      <c r="I150" s="128" t="str">
        <f t="shared" si="144"/>
        <v/>
      </c>
      <c r="J150" s="128"/>
      <c r="K150" s="128">
        <f t="shared" si="145"/>
        <v>0</v>
      </c>
      <c r="L150" s="146" t="str">
        <f t="shared" si="151"/>
        <v/>
      </c>
      <c r="M150" s="145" t="b">
        <f>IF(H150&gt;3,(ISERROR(VLOOKUP(L150,L$129:L149,1,FALSE))),FALSE)</f>
        <v>0</v>
      </c>
      <c r="N150" s="145" t="str">
        <f t="shared" si="146"/>
        <v/>
      </c>
      <c r="O150" s="9"/>
      <c r="P150" s="151" t="str">
        <f t="shared" si="147"/>
        <v/>
      </c>
      <c r="Q150" s="151" t="b">
        <f>IF(K150&gt;2,(ISERROR(VLOOKUP(P150,P$129:P149,1,FALSE))),FALSE)</f>
        <v>0</v>
      </c>
      <c r="R150" s="151" t="str">
        <f t="shared" si="148"/>
        <v/>
      </c>
      <c r="S150" s="166" t="str">
        <f t="shared" si="149"/>
        <v/>
      </c>
      <c r="T150" s="166" t="b">
        <f>IF(AND(H150&gt;0,H150&lt;3),(ISERROR(VLOOKUP(S150,S$129:S149,1,FALSE))),FALSE)</f>
        <v>0</v>
      </c>
      <c r="U150" s="166" t="str">
        <f t="shared" si="150"/>
        <v/>
      </c>
      <c r="V150" s="9"/>
      <c r="W150" s="9"/>
      <c r="X150" s="9"/>
      <c r="Y150" s="37"/>
      <c r="Z150" s="9"/>
      <c r="AA150" s="9"/>
      <c r="AB150" s="9"/>
      <c r="AF150" s="27"/>
      <c r="AQ150" s="1"/>
      <c r="AR150" s="1"/>
      <c r="AS150" s="1"/>
      <c r="AT150" s="1"/>
      <c r="BG150" s="1"/>
      <c r="BH150" s="1"/>
    </row>
    <row r="151" spans="1:60" ht="13.5" hidden="1" x14ac:dyDescent="0.25">
      <c r="A151" s="259"/>
      <c r="B151" s="398"/>
      <c r="C151" s="136" t="str">
        <f t="shared" si="139"/>
        <v/>
      </c>
      <c r="D151" s="133" t="str">
        <f t="shared" si="140"/>
        <v/>
      </c>
      <c r="E151" s="128" t="str">
        <f t="shared" si="141"/>
        <v/>
      </c>
      <c r="F151" s="128" t="str">
        <f t="shared" si="142"/>
        <v/>
      </c>
      <c r="G151" s="128"/>
      <c r="H151" s="128">
        <f t="shared" si="143"/>
        <v>0</v>
      </c>
      <c r="I151" s="128" t="str">
        <f t="shared" si="144"/>
        <v/>
      </c>
      <c r="J151" s="128"/>
      <c r="K151" s="128">
        <f t="shared" si="145"/>
        <v>0</v>
      </c>
      <c r="L151" s="146" t="str">
        <f t="shared" si="151"/>
        <v/>
      </c>
      <c r="M151" s="145" t="b">
        <f>IF(H151&gt;3,(ISERROR(VLOOKUP(L151,L$129:L150,1,FALSE))),FALSE)</f>
        <v>0</v>
      </c>
      <c r="N151" s="145" t="str">
        <f t="shared" si="146"/>
        <v/>
      </c>
      <c r="O151" s="9"/>
      <c r="P151" s="151" t="str">
        <f t="shared" si="147"/>
        <v/>
      </c>
      <c r="Q151" s="151" t="b">
        <f>IF(K151&gt;2,(ISERROR(VLOOKUP(P151,P$129:P150,1,FALSE))),FALSE)</f>
        <v>0</v>
      </c>
      <c r="R151" s="151" t="str">
        <f t="shared" si="148"/>
        <v/>
      </c>
      <c r="S151" s="166" t="str">
        <f t="shared" si="149"/>
        <v/>
      </c>
      <c r="T151" s="166" t="b">
        <f>IF(AND(H151&gt;0,H151&lt;3),(ISERROR(VLOOKUP(S151,S$129:S150,1,FALSE))),FALSE)</f>
        <v>0</v>
      </c>
      <c r="U151" s="166" t="str">
        <f t="shared" si="150"/>
        <v/>
      </c>
      <c r="V151" s="9"/>
      <c r="W151" s="9"/>
      <c r="X151" s="9"/>
      <c r="Y151" s="37"/>
      <c r="Z151" s="9"/>
      <c r="AA151" s="9"/>
      <c r="AB151" s="9"/>
      <c r="AF151" s="27"/>
      <c r="AQ151" s="1"/>
      <c r="AR151" s="1"/>
      <c r="AS151" s="1"/>
      <c r="AT151" s="1"/>
      <c r="BG151" s="1"/>
      <c r="BH151" s="1"/>
    </row>
    <row r="152" spans="1:60" ht="13.5" hidden="1" x14ac:dyDescent="0.25">
      <c r="A152" s="259"/>
      <c r="B152" s="398"/>
      <c r="C152" s="136" t="str">
        <f t="shared" si="139"/>
        <v/>
      </c>
      <c r="D152" s="133" t="str">
        <f t="shared" si="140"/>
        <v/>
      </c>
      <c r="E152" s="128" t="str">
        <f t="shared" si="141"/>
        <v/>
      </c>
      <c r="F152" s="128" t="str">
        <f t="shared" si="142"/>
        <v/>
      </c>
      <c r="G152" s="128"/>
      <c r="H152" s="128">
        <f t="shared" si="143"/>
        <v>0</v>
      </c>
      <c r="I152" s="128" t="str">
        <f t="shared" si="144"/>
        <v/>
      </c>
      <c r="J152" s="128"/>
      <c r="K152" s="128">
        <f t="shared" si="145"/>
        <v>0</v>
      </c>
      <c r="L152" s="146" t="str">
        <f t="shared" si="151"/>
        <v/>
      </c>
      <c r="M152" s="145" t="b">
        <f>IF(H152&gt;3,(ISERROR(VLOOKUP(L152,L$129:L151,1,FALSE))),FALSE)</f>
        <v>0</v>
      </c>
      <c r="N152" s="145" t="str">
        <f t="shared" si="146"/>
        <v/>
      </c>
      <c r="O152" s="9"/>
      <c r="P152" s="151" t="str">
        <f t="shared" si="147"/>
        <v/>
      </c>
      <c r="Q152" s="151" t="b">
        <f>IF(K152&gt;2,(ISERROR(VLOOKUP(P152,P$129:P151,1,FALSE))),FALSE)</f>
        <v>0</v>
      </c>
      <c r="R152" s="151" t="str">
        <f t="shared" si="148"/>
        <v/>
      </c>
      <c r="S152" s="166" t="str">
        <f t="shared" si="149"/>
        <v/>
      </c>
      <c r="T152" s="166" t="b">
        <f>IF(AND(H152&gt;0,H152&lt;3),(ISERROR(VLOOKUP(S152,S$129:S151,1,FALSE))),FALSE)</f>
        <v>0</v>
      </c>
      <c r="U152" s="166" t="str">
        <f t="shared" si="150"/>
        <v/>
      </c>
      <c r="V152" s="9"/>
      <c r="W152" s="9"/>
      <c r="X152" s="9"/>
      <c r="Y152" s="37"/>
      <c r="Z152" s="9"/>
      <c r="AA152" s="9"/>
      <c r="AB152" s="9"/>
      <c r="AF152" s="27"/>
      <c r="AQ152" s="1"/>
      <c r="AR152" s="1"/>
      <c r="AS152" s="1"/>
      <c r="AT152" s="1"/>
      <c r="BG152" s="1"/>
      <c r="BH152" s="1"/>
    </row>
    <row r="153" spans="1:60" ht="13.5" hidden="1" x14ac:dyDescent="0.25">
      <c r="A153" s="259"/>
      <c r="B153" s="398"/>
      <c r="C153" s="136" t="str">
        <f t="shared" si="139"/>
        <v/>
      </c>
      <c r="D153" s="133" t="str">
        <f t="shared" si="140"/>
        <v/>
      </c>
      <c r="E153" s="128" t="str">
        <f t="shared" si="141"/>
        <v/>
      </c>
      <c r="F153" s="128" t="str">
        <f t="shared" si="142"/>
        <v/>
      </c>
      <c r="G153" s="128"/>
      <c r="H153" s="128">
        <f t="shared" si="143"/>
        <v>0</v>
      </c>
      <c r="I153" s="128" t="str">
        <f t="shared" si="144"/>
        <v/>
      </c>
      <c r="J153" s="128"/>
      <c r="K153" s="128">
        <f t="shared" si="145"/>
        <v>0</v>
      </c>
      <c r="L153" s="146" t="str">
        <f t="shared" si="151"/>
        <v/>
      </c>
      <c r="M153" s="145" t="b">
        <f>IF(H153&gt;3,(ISERROR(VLOOKUP(L153,L$129:L152,1,FALSE))),FALSE)</f>
        <v>0</v>
      </c>
      <c r="N153" s="145" t="str">
        <f t="shared" si="146"/>
        <v/>
      </c>
      <c r="O153" s="9"/>
      <c r="P153" s="151" t="str">
        <f t="shared" si="147"/>
        <v/>
      </c>
      <c r="Q153" s="151" t="b">
        <f>IF(K153&gt;2,(ISERROR(VLOOKUP(P153,P$129:P152,1,FALSE))),FALSE)</f>
        <v>0</v>
      </c>
      <c r="R153" s="151" t="str">
        <f t="shared" si="148"/>
        <v/>
      </c>
      <c r="S153" s="166" t="str">
        <f t="shared" si="149"/>
        <v/>
      </c>
      <c r="T153" s="166" t="b">
        <f>IF(AND(H153&gt;0,H153&lt;3),(ISERROR(VLOOKUP(S153,S$129:S152,1,FALSE))),FALSE)</f>
        <v>0</v>
      </c>
      <c r="U153" s="166" t="str">
        <f t="shared" si="150"/>
        <v/>
      </c>
      <c r="V153" s="9"/>
      <c r="W153" s="9"/>
      <c r="X153" s="9"/>
      <c r="Y153" s="37"/>
      <c r="Z153" s="9"/>
      <c r="AA153" s="9"/>
      <c r="AB153" s="9"/>
      <c r="AF153" s="27"/>
      <c r="AQ153" s="1"/>
      <c r="AR153" s="1"/>
      <c r="AS153" s="1"/>
      <c r="AT153" s="1"/>
      <c r="BG153" s="1"/>
      <c r="BH153" s="1"/>
    </row>
    <row r="154" spans="1:60" ht="13.5" hidden="1" x14ac:dyDescent="0.25">
      <c r="A154" s="259"/>
      <c r="B154" s="398"/>
      <c r="C154" s="136" t="str">
        <f t="shared" si="139"/>
        <v/>
      </c>
      <c r="D154" s="133" t="str">
        <f t="shared" si="140"/>
        <v/>
      </c>
      <c r="E154" s="128" t="str">
        <f t="shared" si="141"/>
        <v/>
      </c>
      <c r="F154" s="128" t="str">
        <f t="shared" si="142"/>
        <v/>
      </c>
      <c r="G154" s="128"/>
      <c r="H154" s="128">
        <f t="shared" si="143"/>
        <v>0</v>
      </c>
      <c r="I154" s="128" t="str">
        <f t="shared" si="144"/>
        <v/>
      </c>
      <c r="J154" s="128"/>
      <c r="K154" s="128">
        <f t="shared" si="145"/>
        <v>0</v>
      </c>
      <c r="L154" s="146" t="str">
        <f t="shared" si="151"/>
        <v/>
      </c>
      <c r="M154" s="145" t="b">
        <f>IF(H154&gt;3,(ISERROR(VLOOKUP(L154,L$129:L153,1,FALSE))),FALSE)</f>
        <v>0</v>
      </c>
      <c r="N154" s="145" t="str">
        <f t="shared" si="146"/>
        <v/>
      </c>
      <c r="O154" s="9"/>
      <c r="P154" s="151" t="str">
        <f t="shared" si="147"/>
        <v/>
      </c>
      <c r="Q154" s="151" t="b">
        <f>IF(K154&gt;2,(ISERROR(VLOOKUP(P154,P$129:P153,1,FALSE))),FALSE)</f>
        <v>0</v>
      </c>
      <c r="R154" s="151" t="str">
        <f t="shared" si="148"/>
        <v/>
      </c>
      <c r="S154" s="166" t="str">
        <f t="shared" si="149"/>
        <v/>
      </c>
      <c r="T154" s="166" t="b">
        <f>IF(AND(H154&gt;0,H154&lt;3),(ISERROR(VLOOKUP(S154,S$129:S153,1,FALSE))),FALSE)</f>
        <v>0</v>
      </c>
      <c r="U154" s="166" t="str">
        <f t="shared" si="150"/>
        <v/>
      </c>
      <c r="V154" s="9"/>
      <c r="W154" s="9"/>
      <c r="X154" s="9"/>
      <c r="Y154" s="37"/>
      <c r="Z154" s="9"/>
      <c r="AA154" s="9"/>
      <c r="AB154" s="9"/>
      <c r="AF154" s="27"/>
      <c r="AQ154" s="1"/>
      <c r="AR154" s="1"/>
      <c r="AS154" s="1"/>
      <c r="AT154" s="1"/>
      <c r="BG154" s="1"/>
      <c r="BH154" s="1"/>
    </row>
    <row r="155" spans="1:60" ht="14.25" hidden="1" thickBot="1" x14ac:dyDescent="0.3">
      <c r="A155" s="259"/>
      <c r="B155" s="398"/>
      <c r="C155" s="137" t="str">
        <f t="shared" si="139"/>
        <v/>
      </c>
      <c r="D155" s="138" t="str">
        <f t="shared" si="140"/>
        <v/>
      </c>
      <c r="E155" s="129" t="str">
        <f t="shared" si="141"/>
        <v/>
      </c>
      <c r="F155" s="129" t="str">
        <f t="shared" si="142"/>
        <v/>
      </c>
      <c r="G155" s="129"/>
      <c r="H155" s="129">
        <f t="shared" si="143"/>
        <v>0</v>
      </c>
      <c r="I155" s="129" t="str">
        <f t="shared" si="144"/>
        <v/>
      </c>
      <c r="J155" s="129"/>
      <c r="K155" s="129">
        <f t="shared" si="145"/>
        <v>0</v>
      </c>
      <c r="L155" s="146" t="str">
        <f t="shared" si="151"/>
        <v/>
      </c>
      <c r="M155" s="145" t="b">
        <f>IF(H155&gt;3,(ISERROR(VLOOKUP(L155,L$129:L154,1,FALSE))),FALSE)</f>
        <v>0</v>
      </c>
      <c r="N155" s="145" t="str">
        <f t="shared" si="146"/>
        <v/>
      </c>
      <c r="O155" s="9"/>
      <c r="P155" s="151" t="str">
        <f t="shared" si="147"/>
        <v/>
      </c>
      <c r="Q155" s="151" t="b">
        <f>IF(K155&gt;2,(ISERROR(VLOOKUP(P155,P$129:P154,1,FALSE))),FALSE)</f>
        <v>0</v>
      </c>
      <c r="R155" s="151" t="str">
        <f t="shared" si="148"/>
        <v/>
      </c>
      <c r="S155" s="166" t="str">
        <f t="shared" si="149"/>
        <v/>
      </c>
      <c r="T155" s="166" t="b">
        <f>IF(AND(H155&gt;0,H155&lt;3),(ISERROR(VLOOKUP(S155,S$129:S154,1,FALSE))),FALSE)</f>
        <v>0</v>
      </c>
      <c r="U155" s="166" t="str">
        <f t="shared" si="150"/>
        <v/>
      </c>
      <c r="V155" s="9"/>
      <c r="W155" s="9"/>
      <c r="X155" s="9"/>
      <c r="Y155" s="37"/>
      <c r="Z155" s="9"/>
      <c r="AA155" s="9"/>
      <c r="AB155" s="9"/>
      <c r="AF155" s="27"/>
      <c r="AQ155" s="1"/>
      <c r="AR155" s="1"/>
      <c r="AS155" s="1"/>
      <c r="AT155" s="1"/>
      <c r="BG155" s="1"/>
      <c r="BH155" s="1"/>
    </row>
    <row r="156" spans="1:60" ht="13.5" hidden="1" thickBot="1" x14ac:dyDescent="0.25">
      <c r="A156" s="260"/>
      <c r="B156" s="399"/>
      <c r="C156" s="31"/>
      <c r="D156" s="31"/>
      <c r="E156" s="31"/>
      <c r="F156" s="31"/>
      <c r="G156" s="31"/>
      <c r="H156" s="153"/>
      <c r="I156" s="31"/>
      <c r="J156" s="31"/>
      <c r="K156" s="31"/>
      <c r="L156" s="154"/>
      <c r="M156" s="155">
        <f>COUNTIF(M129:M155,TRUE)</f>
        <v>0</v>
      </c>
      <c r="N156" s="154" t="str">
        <f>CONCATENATE(N129,N130,N131,N132,N133,N134,N135,N136,N137,N138,N139,N140,N141,N142,N143,N144,N145,N146,N147,N148,N149,N150,N151,N152,N153,N154,N155)</f>
        <v/>
      </c>
      <c r="O156" s="31"/>
      <c r="P156" s="156"/>
      <c r="Q156" s="157">
        <f>COUNTIF(Q129:Q155,TRUE)</f>
        <v>0</v>
      </c>
      <c r="R156" s="156" t="str">
        <f>CONCATENATE(R129,R130,R131,R132,R133,R134,R135,R136,R137,R138,R139,R140,R141,R142,R143,R144,R145,R146,R147,R148,R149,R150,R151,R152,R153,R154,R155)</f>
        <v/>
      </c>
      <c r="S156" s="167"/>
      <c r="T156" s="168">
        <f>COUNTIF(T129:T155,TRUE)</f>
        <v>0</v>
      </c>
      <c r="U156" s="167" t="str">
        <f>CONCATENATE(U129,U130,U131,U132,U133,U134,U135,U136,U137,U138,U139,U140,U141,U142,U143,U144,U145,U146,U147,U148,U149,U150,U151,U152,U153,U154,U155)</f>
        <v/>
      </c>
      <c r="V156" s="31"/>
      <c r="W156" s="31"/>
      <c r="X156" s="31"/>
      <c r="Y156" s="43"/>
      <c r="Z156" s="9"/>
      <c r="AA156" s="9"/>
      <c r="AB156" s="9"/>
      <c r="AF156" s="27"/>
      <c r="AQ156" s="1"/>
      <c r="AR156" s="1"/>
      <c r="AS156" s="1"/>
      <c r="AT156" s="1"/>
      <c r="BG156" s="1"/>
      <c r="BH156" s="1"/>
    </row>
    <row r="157" spans="1:60" hidden="1" x14ac:dyDescent="0.2">
      <c r="A157" s="252"/>
      <c r="K157" s="142"/>
      <c r="T157" s="9"/>
      <c r="U157" s="9"/>
      <c r="V157" s="9"/>
      <c r="W157" s="9"/>
      <c r="X157" s="9"/>
      <c r="Y157" s="9"/>
      <c r="Z157" s="9"/>
      <c r="AA157" s="9"/>
      <c r="AB157" s="9"/>
      <c r="AF157" s="27"/>
      <c r="AQ157" s="1"/>
      <c r="AR157" s="1"/>
      <c r="AS157" s="1"/>
      <c r="AT157" s="1"/>
      <c r="BG157" s="1"/>
      <c r="BH157" s="1"/>
    </row>
    <row r="158" spans="1:60" hidden="1" x14ac:dyDescent="0.2">
      <c r="A158" s="252"/>
      <c r="C158" s="132" t="s">
        <v>229</v>
      </c>
      <c r="AF158" s="27"/>
      <c r="AQ158" s="1"/>
      <c r="AR158" s="1"/>
      <c r="AS158" s="1"/>
      <c r="AT158" s="1"/>
      <c r="BG158" s="1"/>
      <c r="BH158" s="1"/>
    </row>
    <row r="159" spans="1:60" hidden="1" x14ac:dyDescent="0.2">
      <c r="A159" s="252"/>
      <c r="E159" s="132" t="s">
        <v>243</v>
      </c>
      <c r="AF159" s="27"/>
      <c r="AQ159" s="1"/>
      <c r="AR159" s="1"/>
      <c r="AS159" s="1"/>
      <c r="AT159" s="1"/>
      <c r="BG159" s="1"/>
      <c r="BH159" s="1"/>
    </row>
    <row r="160" spans="1:60" hidden="1" x14ac:dyDescent="0.2">
      <c r="A160" s="252"/>
      <c r="C160" s="82" t="s">
        <v>235</v>
      </c>
      <c r="E160" s="284" t="s">
        <v>230</v>
      </c>
      <c r="F160" s="285" t="s">
        <v>11</v>
      </c>
      <c r="G160" s="285"/>
      <c r="H160" s="285" t="s">
        <v>188</v>
      </c>
      <c r="I160" s="285" t="s">
        <v>231</v>
      </c>
      <c r="J160" s="285"/>
      <c r="K160" s="285" t="s">
        <v>232</v>
      </c>
      <c r="L160" s="285" t="s">
        <v>233</v>
      </c>
      <c r="M160" s="286" t="s">
        <v>234</v>
      </c>
      <c r="N160" s="287" t="s">
        <v>242</v>
      </c>
      <c r="O160" s="288" t="s">
        <v>239</v>
      </c>
      <c r="P160" s="287" t="s">
        <v>244</v>
      </c>
      <c r="Q160" s="292" t="s">
        <v>247</v>
      </c>
      <c r="T160" s="293" t="s">
        <v>282</v>
      </c>
      <c r="U160" s="294"/>
      <c r="V160" s="294"/>
      <c r="AF160" s="27"/>
      <c r="AQ160" s="1"/>
      <c r="AR160" s="1"/>
      <c r="AS160" s="1"/>
      <c r="AT160" s="1"/>
      <c r="BG160" s="1"/>
      <c r="BH160" s="1"/>
    </row>
    <row r="161" spans="1:60" hidden="1" x14ac:dyDescent="0.2">
      <c r="A161" s="252"/>
      <c r="C161" s="82">
        <v>1</v>
      </c>
      <c r="D161" s="1" t="s">
        <v>67</v>
      </c>
      <c r="E161" s="171">
        <f>Entrants!D144+COUNTIF(N$17:N$43,$D161)</f>
        <v>0</v>
      </c>
      <c r="F161" s="128">
        <f>Entrants!E144+COUNTIF(O$17:O$43,$D161)</f>
        <v>0</v>
      </c>
      <c r="G161" s="128"/>
      <c r="H161" s="128">
        <f>Entrants!G144+COUNTIF(P$17:P$43,$D161)</f>
        <v>0</v>
      </c>
      <c r="I161" s="128">
        <f>Entrants!H144+COUNTIF(Q$17:Q$43,$D161)</f>
        <v>0</v>
      </c>
      <c r="J161" s="128"/>
      <c r="K161" s="128">
        <f>Entrants!J144+COUNTIF(R$17:R$43,$D161)</f>
        <v>0</v>
      </c>
      <c r="L161" s="128">
        <f>Entrants!K144+COUNTIF(S$17:S$43,$D161)</f>
        <v>0</v>
      </c>
      <c r="M161" s="172">
        <f>Entrants!L144+COUNTIF(U$17:U$43,$D161)</f>
        <v>0</v>
      </c>
      <c r="N161" s="188">
        <f t="shared" ref="N161:N178" si="152">SUM(E161:M161)</f>
        <v>0</v>
      </c>
      <c r="O161" s="188">
        <f t="shared" ref="O161:O178" si="153">COUNTIF(N161,"&gt;4")</f>
        <v>0</v>
      </c>
      <c r="P161" s="187" t="str">
        <f t="shared" ref="P161:P178" si="154">IF(O161=1,CONCATENATE(" Gun ",$C161," used too many times ; "),"")</f>
        <v/>
      </c>
      <c r="Q161" s="199">
        <f t="shared" ref="Q161:Q178" si="155">IF(N161=1,1,0)</f>
        <v>0</v>
      </c>
      <c r="R161" s="204" t="str">
        <f t="shared" ref="R161:R178" si="156">IF(N161=1,D161,"")</f>
        <v/>
      </c>
      <c r="S161" s="184" t="str">
        <f t="shared" ref="S161:S178" si="157">IF(N161=1,CONCATENATE("Gun ",C161," is shown as shared but used only once; "),"")</f>
        <v/>
      </c>
      <c r="T161" s="294">
        <f t="shared" ref="T161:T178" si="158">7-COUNTIF(E161:M161,0)</f>
        <v>0</v>
      </c>
      <c r="U161" s="294">
        <f t="shared" ref="U161:U178" si="159">IF(T161&gt;1,1,0)</f>
        <v>0</v>
      </c>
      <c r="V161" s="294" t="str">
        <f>IF(T161&gt;1,CONCATENATE("Gun ",C161," used in ",T161," classes"),"")</f>
        <v/>
      </c>
      <c r="AF161" s="27"/>
      <c r="AQ161" s="1"/>
      <c r="AR161" s="1"/>
      <c r="AS161" s="1"/>
      <c r="AT161" s="1"/>
      <c r="BG161" s="1"/>
      <c r="BH161" s="1"/>
    </row>
    <row r="162" spans="1:60" hidden="1" x14ac:dyDescent="0.2">
      <c r="C162" s="82">
        <v>2</v>
      </c>
      <c r="D162" s="1" t="s">
        <v>66</v>
      </c>
      <c r="E162" s="171">
        <f>Entrants!D145+COUNTIF(N$17:N$43,$D162)</f>
        <v>0</v>
      </c>
      <c r="F162" s="128">
        <f>Entrants!E145+COUNTIF(O$17:O$43,$D162)</f>
        <v>0</v>
      </c>
      <c r="G162" s="128"/>
      <c r="H162" s="128">
        <f>Entrants!G145+COUNTIF(P$17:P$43,$D162)</f>
        <v>0</v>
      </c>
      <c r="I162" s="128">
        <f>Entrants!H145+COUNTIF(Q$17:Q$43,$D162)</f>
        <v>0</v>
      </c>
      <c r="J162" s="128"/>
      <c r="K162" s="128">
        <f>Entrants!J145+COUNTIF(R$17:R$43,$D162)</f>
        <v>0</v>
      </c>
      <c r="L162" s="128">
        <f>Entrants!K145+COUNTIF(S$17:S$43,$D162)</f>
        <v>0</v>
      </c>
      <c r="M162" s="172">
        <f>Entrants!L145+COUNTIF(U$17:U$43,$D162)</f>
        <v>0</v>
      </c>
      <c r="N162" s="188">
        <f t="shared" si="152"/>
        <v>0</v>
      </c>
      <c r="O162" s="188">
        <f t="shared" si="153"/>
        <v>0</v>
      </c>
      <c r="P162" s="187" t="str">
        <f t="shared" si="154"/>
        <v/>
      </c>
      <c r="Q162" s="199">
        <f t="shared" si="155"/>
        <v>0</v>
      </c>
      <c r="R162" s="204" t="str">
        <f t="shared" si="156"/>
        <v/>
      </c>
      <c r="S162" s="184" t="str">
        <f t="shared" si="157"/>
        <v/>
      </c>
      <c r="T162" s="294">
        <f t="shared" si="158"/>
        <v>0</v>
      </c>
      <c r="U162" s="294">
        <f t="shared" si="159"/>
        <v>0</v>
      </c>
      <c r="V162" s="294" t="str">
        <f t="shared" ref="V162:V178" si="160">IF(T162&gt;1,CONCATENATE("Gun ",C162," used in ",T162," classes; "),"")</f>
        <v/>
      </c>
      <c r="AF162" s="27"/>
      <c r="AQ162" s="1"/>
      <c r="AR162" s="1"/>
      <c r="AS162" s="1"/>
      <c r="AT162" s="1"/>
      <c r="BG162" s="1"/>
      <c r="BH162" s="1"/>
    </row>
    <row r="163" spans="1:60" hidden="1" x14ac:dyDescent="0.2">
      <c r="C163" s="82">
        <v>3</v>
      </c>
      <c r="D163" s="1" t="s">
        <v>65</v>
      </c>
      <c r="E163" s="171">
        <f>Entrants!D146+COUNTIF(N$17:N$43,$D163)</f>
        <v>0</v>
      </c>
      <c r="F163" s="128">
        <f>Entrants!E146+COUNTIF(O$17:O$43,$D163)</f>
        <v>0</v>
      </c>
      <c r="G163" s="128"/>
      <c r="H163" s="128">
        <f>Entrants!G146+COUNTIF(P$17:P$43,$D163)</f>
        <v>0</v>
      </c>
      <c r="I163" s="128">
        <f>Entrants!H146+COUNTIF(Q$17:Q$43,$D163)</f>
        <v>0</v>
      </c>
      <c r="J163" s="128"/>
      <c r="K163" s="128">
        <f>Entrants!J146+COUNTIF(R$17:R$43,$D163)</f>
        <v>0</v>
      </c>
      <c r="L163" s="128">
        <f>Entrants!K146+COUNTIF(S$17:S$43,$D163)</f>
        <v>0</v>
      </c>
      <c r="M163" s="172">
        <f>Entrants!L146+COUNTIF(U$17:U$43,$D163)</f>
        <v>0</v>
      </c>
      <c r="N163" s="188">
        <f t="shared" si="152"/>
        <v>0</v>
      </c>
      <c r="O163" s="188">
        <f t="shared" si="153"/>
        <v>0</v>
      </c>
      <c r="P163" s="187" t="str">
        <f t="shared" si="154"/>
        <v/>
      </c>
      <c r="Q163" s="199">
        <f t="shared" si="155"/>
        <v>0</v>
      </c>
      <c r="R163" s="204" t="str">
        <f t="shared" si="156"/>
        <v/>
      </c>
      <c r="S163" s="184" t="str">
        <f t="shared" si="157"/>
        <v/>
      </c>
      <c r="T163" s="294">
        <f t="shared" si="158"/>
        <v>0</v>
      </c>
      <c r="U163" s="294">
        <f t="shared" si="159"/>
        <v>0</v>
      </c>
      <c r="V163" s="294" t="str">
        <f t="shared" si="160"/>
        <v/>
      </c>
      <c r="AF163" s="27"/>
      <c r="AQ163" s="1"/>
      <c r="AR163" s="1"/>
      <c r="AS163" s="1"/>
      <c r="AT163" s="1"/>
      <c r="BG163" s="1"/>
      <c r="BH163" s="1"/>
    </row>
    <row r="164" spans="1:60" hidden="1" x14ac:dyDescent="0.2">
      <c r="C164" s="82">
        <v>4</v>
      </c>
      <c r="D164" s="1" t="s">
        <v>64</v>
      </c>
      <c r="E164" s="171">
        <f>Entrants!D147+COUNTIF(N$17:N$43,$D164)</f>
        <v>0</v>
      </c>
      <c r="F164" s="128">
        <f>Entrants!E147+COUNTIF(O$17:O$43,$D164)</f>
        <v>0</v>
      </c>
      <c r="G164" s="128"/>
      <c r="H164" s="128">
        <f>Entrants!G147+COUNTIF(P$17:P$43,$D164)</f>
        <v>0</v>
      </c>
      <c r="I164" s="128">
        <f>Entrants!H147+COUNTIF(Q$17:Q$43,$D164)</f>
        <v>0</v>
      </c>
      <c r="J164" s="128"/>
      <c r="K164" s="128">
        <f>Entrants!J147+COUNTIF(R$17:R$43,$D164)</f>
        <v>0</v>
      </c>
      <c r="L164" s="128">
        <f>Entrants!K147+COUNTIF(S$17:S$43,$D164)</f>
        <v>0</v>
      </c>
      <c r="M164" s="172">
        <f>Entrants!L147+COUNTIF(U$17:U$43,$D164)</f>
        <v>0</v>
      </c>
      <c r="N164" s="188">
        <f t="shared" si="152"/>
        <v>0</v>
      </c>
      <c r="O164" s="188">
        <f t="shared" si="153"/>
        <v>0</v>
      </c>
      <c r="P164" s="187" t="str">
        <f t="shared" si="154"/>
        <v/>
      </c>
      <c r="Q164" s="199">
        <f t="shared" si="155"/>
        <v>0</v>
      </c>
      <c r="R164" s="204" t="str">
        <f t="shared" si="156"/>
        <v/>
      </c>
      <c r="S164" s="184" t="str">
        <f t="shared" si="157"/>
        <v/>
      </c>
      <c r="T164" s="294">
        <f t="shared" si="158"/>
        <v>0</v>
      </c>
      <c r="U164" s="294">
        <f t="shared" si="159"/>
        <v>0</v>
      </c>
      <c r="V164" s="294" t="str">
        <f t="shared" si="160"/>
        <v/>
      </c>
      <c r="AF164" s="27"/>
      <c r="AQ164" s="1"/>
      <c r="AR164" s="1"/>
      <c r="AS164" s="1"/>
      <c r="AT164" s="1"/>
      <c r="BG164" s="1"/>
      <c r="BH164" s="1"/>
    </row>
    <row r="165" spans="1:60" hidden="1" x14ac:dyDescent="0.2">
      <c r="C165" s="82">
        <v>5</v>
      </c>
      <c r="D165" s="1" t="s">
        <v>63</v>
      </c>
      <c r="E165" s="171">
        <f>Entrants!D148+COUNTIF(N$17:N$43,$D165)</f>
        <v>0</v>
      </c>
      <c r="F165" s="128">
        <f>Entrants!E148+COUNTIF(O$17:O$43,$D165)</f>
        <v>0</v>
      </c>
      <c r="G165" s="128"/>
      <c r="H165" s="128">
        <f>Entrants!G148+COUNTIF(P$17:P$43,$D165)</f>
        <v>0</v>
      </c>
      <c r="I165" s="128">
        <f>Entrants!H148+COUNTIF(Q$17:Q$43,$D165)</f>
        <v>0</v>
      </c>
      <c r="J165" s="128"/>
      <c r="K165" s="128">
        <f>Entrants!J148+COUNTIF(R$17:R$43,$D165)</f>
        <v>0</v>
      </c>
      <c r="L165" s="128">
        <f>Entrants!K148+COUNTIF(S$17:S$43,$D165)</f>
        <v>0</v>
      </c>
      <c r="M165" s="172">
        <f>Entrants!L148+COUNTIF(U$17:U$43,$D165)</f>
        <v>0</v>
      </c>
      <c r="N165" s="188">
        <f t="shared" si="152"/>
        <v>0</v>
      </c>
      <c r="O165" s="188">
        <f t="shared" si="153"/>
        <v>0</v>
      </c>
      <c r="P165" s="187" t="str">
        <f t="shared" si="154"/>
        <v/>
      </c>
      <c r="Q165" s="199">
        <f t="shared" si="155"/>
        <v>0</v>
      </c>
      <c r="R165" s="204" t="str">
        <f t="shared" si="156"/>
        <v/>
      </c>
      <c r="S165" s="184" t="str">
        <f t="shared" si="157"/>
        <v/>
      </c>
      <c r="T165" s="294">
        <f t="shared" si="158"/>
        <v>0</v>
      </c>
      <c r="U165" s="294">
        <f t="shared" si="159"/>
        <v>0</v>
      </c>
      <c r="V165" s="294" t="str">
        <f t="shared" si="160"/>
        <v/>
      </c>
      <c r="AF165" s="27"/>
      <c r="AQ165" s="1"/>
      <c r="AR165" s="1"/>
      <c r="AS165" s="1"/>
      <c r="AT165" s="1"/>
      <c r="BG165" s="1"/>
      <c r="BH165" s="1"/>
    </row>
    <row r="166" spans="1:60" hidden="1" x14ac:dyDescent="0.2">
      <c r="C166" s="82">
        <v>6</v>
      </c>
      <c r="D166" s="1" t="s">
        <v>62</v>
      </c>
      <c r="E166" s="171">
        <f>Entrants!D149+COUNTIF(N$17:N$43,$D166)</f>
        <v>0</v>
      </c>
      <c r="F166" s="128">
        <f>Entrants!E149+COUNTIF(O$17:O$43,$D166)</f>
        <v>0</v>
      </c>
      <c r="G166" s="128"/>
      <c r="H166" s="128">
        <f>Entrants!G149+COUNTIF(P$17:P$43,$D166)</f>
        <v>0</v>
      </c>
      <c r="I166" s="128">
        <f>Entrants!H149+COUNTIF(Q$17:Q$43,$D166)</f>
        <v>0</v>
      </c>
      <c r="J166" s="128"/>
      <c r="K166" s="128">
        <f>Entrants!J149+COUNTIF(R$17:R$43,$D166)</f>
        <v>0</v>
      </c>
      <c r="L166" s="128">
        <f>Entrants!K149+COUNTIF(S$17:S$43,$D166)</f>
        <v>0</v>
      </c>
      <c r="M166" s="172">
        <f>Entrants!L149+COUNTIF(U$17:U$43,$D166)</f>
        <v>0</v>
      </c>
      <c r="N166" s="188">
        <f t="shared" si="152"/>
        <v>0</v>
      </c>
      <c r="O166" s="188">
        <f t="shared" si="153"/>
        <v>0</v>
      </c>
      <c r="P166" s="187" t="str">
        <f t="shared" si="154"/>
        <v/>
      </c>
      <c r="Q166" s="199">
        <f t="shared" si="155"/>
        <v>0</v>
      </c>
      <c r="R166" s="204" t="str">
        <f t="shared" si="156"/>
        <v/>
      </c>
      <c r="S166" s="184" t="str">
        <f t="shared" si="157"/>
        <v/>
      </c>
      <c r="T166" s="294">
        <f t="shared" si="158"/>
        <v>0</v>
      </c>
      <c r="U166" s="294">
        <f t="shared" si="159"/>
        <v>0</v>
      </c>
      <c r="V166" s="294" t="str">
        <f t="shared" si="160"/>
        <v/>
      </c>
      <c r="AF166" s="27"/>
      <c r="AQ166" s="1"/>
      <c r="AR166" s="1"/>
      <c r="AS166" s="1"/>
      <c r="AT166" s="1"/>
      <c r="BG166" s="1"/>
      <c r="BH166" s="1"/>
    </row>
    <row r="167" spans="1:60" hidden="1" x14ac:dyDescent="0.2">
      <c r="C167" s="82">
        <v>7</v>
      </c>
      <c r="D167" s="1" t="s">
        <v>61</v>
      </c>
      <c r="E167" s="171">
        <f>Entrants!D150+COUNTIF(N$17:N$43,$D167)</f>
        <v>0</v>
      </c>
      <c r="F167" s="128">
        <f>Entrants!E150+COUNTIF(O$17:O$43,$D167)</f>
        <v>0</v>
      </c>
      <c r="G167" s="128"/>
      <c r="H167" s="128">
        <f>Entrants!G150+COUNTIF(P$17:P$43,$D167)</f>
        <v>0</v>
      </c>
      <c r="I167" s="128">
        <f>Entrants!H150+COUNTIF(Q$17:Q$43,$D167)</f>
        <v>0</v>
      </c>
      <c r="J167" s="128"/>
      <c r="K167" s="128">
        <f>Entrants!J150+COUNTIF(R$17:R$43,$D167)</f>
        <v>0</v>
      </c>
      <c r="L167" s="128">
        <f>Entrants!K150+COUNTIF(S$17:S$43,$D167)</f>
        <v>0</v>
      </c>
      <c r="M167" s="172">
        <f>Entrants!L150+COUNTIF(U$17:U$43,$D167)</f>
        <v>0</v>
      </c>
      <c r="N167" s="188">
        <f t="shared" si="152"/>
        <v>0</v>
      </c>
      <c r="O167" s="188">
        <f t="shared" si="153"/>
        <v>0</v>
      </c>
      <c r="P167" s="187" t="str">
        <f t="shared" si="154"/>
        <v/>
      </c>
      <c r="Q167" s="199">
        <f t="shared" si="155"/>
        <v>0</v>
      </c>
      <c r="R167" s="204" t="str">
        <f t="shared" si="156"/>
        <v/>
      </c>
      <c r="S167" s="184" t="str">
        <f t="shared" si="157"/>
        <v/>
      </c>
      <c r="T167" s="294">
        <f t="shared" si="158"/>
        <v>0</v>
      </c>
      <c r="U167" s="294">
        <f t="shared" si="159"/>
        <v>0</v>
      </c>
      <c r="V167" s="294" t="str">
        <f t="shared" si="160"/>
        <v/>
      </c>
      <c r="AF167" s="27"/>
      <c r="AQ167" s="1"/>
      <c r="AR167" s="1"/>
      <c r="AS167" s="1"/>
      <c r="AT167" s="1"/>
      <c r="BG167" s="1"/>
      <c r="BH167" s="1"/>
    </row>
    <row r="168" spans="1:60" hidden="1" x14ac:dyDescent="0.2">
      <c r="C168" s="82">
        <v>8</v>
      </c>
      <c r="D168" s="1" t="s">
        <v>60</v>
      </c>
      <c r="E168" s="171">
        <f>Entrants!D151+COUNTIF(N$17:N$43,$D168)</f>
        <v>0</v>
      </c>
      <c r="F168" s="128">
        <f>Entrants!E151+COUNTIF(O$17:O$43,$D168)</f>
        <v>0</v>
      </c>
      <c r="G168" s="128"/>
      <c r="H168" s="128">
        <f>Entrants!G151+COUNTIF(P$17:P$43,$D168)</f>
        <v>0</v>
      </c>
      <c r="I168" s="128">
        <f>Entrants!H151+COUNTIF(Q$17:Q$43,$D168)</f>
        <v>0</v>
      </c>
      <c r="J168" s="128"/>
      <c r="K168" s="128">
        <f>Entrants!J151+COUNTIF(R$17:R$43,$D168)</f>
        <v>0</v>
      </c>
      <c r="L168" s="128">
        <f>Entrants!K151+COUNTIF(S$17:S$43,$D168)</f>
        <v>0</v>
      </c>
      <c r="M168" s="172">
        <f>Entrants!L151+COUNTIF(U$17:U$43,$D168)</f>
        <v>0</v>
      </c>
      <c r="N168" s="188">
        <f t="shared" si="152"/>
        <v>0</v>
      </c>
      <c r="O168" s="188">
        <f t="shared" si="153"/>
        <v>0</v>
      </c>
      <c r="P168" s="187" t="str">
        <f t="shared" si="154"/>
        <v/>
      </c>
      <c r="Q168" s="199">
        <f t="shared" si="155"/>
        <v>0</v>
      </c>
      <c r="R168" s="204" t="str">
        <f t="shared" si="156"/>
        <v/>
      </c>
      <c r="S168" s="184" t="str">
        <f t="shared" si="157"/>
        <v/>
      </c>
      <c r="T168" s="294">
        <f t="shared" si="158"/>
        <v>0</v>
      </c>
      <c r="U168" s="294">
        <f t="shared" si="159"/>
        <v>0</v>
      </c>
      <c r="V168" s="294" t="str">
        <f t="shared" si="160"/>
        <v/>
      </c>
      <c r="AF168" s="27"/>
      <c r="AQ168" s="1"/>
      <c r="AR168" s="1"/>
      <c r="AS168" s="1"/>
      <c r="AT168" s="1"/>
      <c r="BG168" s="1"/>
      <c r="BH168" s="1"/>
    </row>
    <row r="169" spans="1:60" hidden="1" x14ac:dyDescent="0.2">
      <c r="C169" s="82">
        <v>9</v>
      </c>
      <c r="D169" s="1" t="s">
        <v>59</v>
      </c>
      <c r="E169" s="171">
        <f>Entrants!D152+COUNTIF(N$17:N$43,$D169)</f>
        <v>0</v>
      </c>
      <c r="F169" s="128">
        <f>Entrants!E152+COUNTIF(O$17:O$43,$D169)</f>
        <v>0</v>
      </c>
      <c r="G169" s="128"/>
      <c r="H169" s="128">
        <f>Entrants!G152+COUNTIF(P$17:P$43,$D169)</f>
        <v>0</v>
      </c>
      <c r="I169" s="128">
        <f>Entrants!H152+COUNTIF(Q$17:Q$43,$D169)</f>
        <v>0</v>
      </c>
      <c r="J169" s="128"/>
      <c r="K169" s="128">
        <f>Entrants!J152+COUNTIF(R$17:R$43,$D169)</f>
        <v>0</v>
      </c>
      <c r="L169" s="128">
        <f>Entrants!K152+COUNTIF(S$17:S$43,$D169)</f>
        <v>0</v>
      </c>
      <c r="M169" s="172">
        <f>Entrants!L152+COUNTIF(U$17:U$43,$D169)</f>
        <v>0</v>
      </c>
      <c r="N169" s="188">
        <f t="shared" si="152"/>
        <v>0</v>
      </c>
      <c r="O169" s="188">
        <f t="shared" si="153"/>
        <v>0</v>
      </c>
      <c r="P169" s="187" t="str">
        <f t="shared" si="154"/>
        <v/>
      </c>
      <c r="Q169" s="199">
        <f t="shared" si="155"/>
        <v>0</v>
      </c>
      <c r="R169" s="204" t="str">
        <f t="shared" si="156"/>
        <v/>
      </c>
      <c r="S169" s="184" t="str">
        <f t="shared" si="157"/>
        <v/>
      </c>
      <c r="T169" s="294">
        <f t="shared" si="158"/>
        <v>0</v>
      </c>
      <c r="U169" s="294">
        <f t="shared" si="159"/>
        <v>0</v>
      </c>
      <c r="V169" s="294" t="str">
        <f t="shared" si="160"/>
        <v/>
      </c>
      <c r="AF169" s="27"/>
      <c r="AQ169" s="1"/>
      <c r="AR169" s="1"/>
      <c r="AS169" s="1"/>
      <c r="AT169" s="1"/>
      <c r="BG169" s="1"/>
      <c r="BH169" s="1"/>
    </row>
    <row r="170" spans="1:60" hidden="1" x14ac:dyDescent="0.2">
      <c r="C170" s="82">
        <v>10</v>
      </c>
      <c r="D170" s="1" t="s">
        <v>58</v>
      </c>
      <c r="E170" s="171">
        <f>Entrants!D153+COUNTIF(N$17:N$43,$D170)</f>
        <v>0</v>
      </c>
      <c r="F170" s="128">
        <f>Entrants!E153+COUNTIF(O$17:O$43,$D170)</f>
        <v>0</v>
      </c>
      <c r="G170" s="128"/>
      <c r="H170" s="128">
        <f>Entrants!G153+COUNTIF(P$17:P$43,$D170)</f>
        <v>0</v>
      </c>
      <c r="I170" s="128">
        <f>Entrants!H153+COUNTIF(Q$17:Q$43,$D170)</f>
        <v>0</v>
      </c>
      <c r="J170" s="128"/>
      <c r="K170" s="128">
        <f>Entrants!J153+COUNTIF(R$17:R$43,$D170)</f>
        <v>0</v>
      </c>
      <c r="L170" s="128">
        <f>Entrants!K153+COUNTIF(S$17:S$43,$D170)</f>
        <v>0</v>
      </c>
      <c r="M170" s="172">
        <f>Entrants!L153+COUNTIF(U$17:U$43,$D170)</f>
        <v>0</v>
      </c>
      <c r="N170" s="188">
        <f t="shared" si="152"/>
        <v>0</v>
      </c>
      <c r="O170" s="188">
        <f t="shared" si="153"/>
        <v>0</v>
      </c>
      <c r="P170" s="187" t="str">
        <f t="shared" si="154"/>
        <v/>
      </c>
      <c r="Q170" s="199">
        <f t="shared" si="155"/>
        <v>0</v>
      </c>
      <c r="R170" s="204" t="str">
        <f t="shared" si="156"/>
        <v/>
      </c>
      <c r="S170" s="184" t="str">
        <f t="shared" si="157"/>
        <v/>
      </c>
      <c r="T170" s="294">
        <f t="shared" si="158"/>
        <v>0</v>
      </c>
      <c r="U170" s="294">
        <f t="shared" si="159"/>
        <v>0</v>
      </c>
      <c r="V170" s="294" t="str">
        <f t="shared" si="160"/>
        <v/>
      </c>
      <c r="AF170" s="27"/>
      <c r="AQ170" s="1"/>
      <c r="AR170" s="1"/>
      <c r="AS170" s="1"/>
      <c r="AT170" s="1"/>
      <c r="BG170" s="1"/>
      <c r="BH170" s="1"/>
    </row>
    <row r="171" spans="1:60" hidden="1" x14ac:dyDescent="0.2">
      <c r="C171" s="82">
        <v>11</v>
      </c>
      <c r="D171" s="1" t="s">
        <v>57</v>
      </c>
      <c r="E171" s="171">
        <f>Entrants!D154+COUNTIF(N$17:N$43,$D171)</f>
        <v>0</v>
      </c>
      <c r="F171" s="128">
        <f>Entrants!E154+COUNTIF(O$17:O$43,$D171)</f>
        <v>0</v>
      </c>
      <c r="G171" s="128"/>
      <c r="H171" s="128">
        <f>Entrants!G154+COUNTIF(P$17:P$43,$D171)</f>
        <v>0</v>
      </c>
      <c r="I171" s="128">
        <f>Entrants!H154+COUNTIF(Q$17:Q$43,$D171)</f>
        <v>0</v>
      </c>
      <c r="J171" s="128"/>
      <c r="K171" s="128">
        <f>Entrants!J154+COUNTIF(R$17:R$43,$D171)</f>
        <v>0</v>
      </c>
      <c r="L171" s="128">
        <f>Entrants!K154+COUNTIF(S$17:S$43,$D171)</f>
        <v>0</v>
      </c>
      <c r="M171" s="172">
        <f>Entrants!L154+COUNTIF(U$17:U$43,$D171)</f>
        <v>0</v>
      </c>
      <c r="N171" s="188">
        <f t="shared" si="152"/>
        <v>0</v>
      </c>
      <c r="O171" s="188">
        <f t="shared" si="153"/>
        <v>0</v>
      </c>
      <c r="P171" s="187" t="str">
        <f t="shared" si="154"/>
        <v/>
      </c>
      <c r="Q171" s="199">
        <f t="shared" si="155"/>
        <v>0</v>
      </c>
      <c r="R171" s="204" t="str">
        <f t="shared" si="156"/>
        <v/>
      </c>
      <c r="S171" s="184" t="str">
        <f t="shared" si="157"/>
        <v/>
      </c>
      <c r="T171" s="294">
        <f t="shared" si="158"/>
        <v>0</v>
      </c>
      <c r="U171" s="294">
        <f t="shared" si="159"/>
        <v>0</v>
      </c>
      <c r="V171" s="294" t="str">
        <f t="shared" si="160"/>
        <v/>
      </c>
      <c r="AF171" s="27"/>
      <c r="AQ171" s="1"/>
      <c r="AR171" s="1"/>
      <c r="AS171" s="1"/>
      <c r="AT171" s="1"/>
      <c r="BG171" s="1"/>
      <c r="BH171" s="1"/>
    </row>
    <row r="172" spans="1:60" hidden="1" x14ac:dyDescent="0.2">
      <c r="C172" s="82">
        <v>12</v>
      </c>
      <c r="D172" s="1" t="s">
        <v>56</v>
      </c>
      <c r="E172" s="171">
        <f>Entrants!D155+COUNTIF(N$17:N$43,$D172)</f>
        <v>0</v>
      </c>
      <c r="F172" s="128">
        <f>Entrants!E155+COUNTIF(O$17:O$43,$D172)</f>
        <v>0</v>
      </c>
      <c r="G172" s="128"/>
      <c r="H172" s="128">
        <f>Entrants!G155+COUNTIF(P$17:P$43,$D172)</f>
        <v>0</v>
      </c>
      <c r="I172" s="128">
        <f>Entrants!H155+COUNTIF(Q$17:Q$43,$D172)</f>
        <v>0</v>
      </c>
      <c r="J172" s="128"/>
      <c r="K172" s="128">
        <f>Entrants!J155+COUNTIF(R$17:R$43,$D172)</f>
        <v>0</v>
      </c>
      <c r="L172" s="128">
        <f>Entrants!K155+COUNTIF(S$17:S$43,$D172)</f>
        <v>0</v>
      </c>
      <c r="M172" s="172">
        <f>Entrants!L155+COUNTIF(U$17:U$43,$D172)</f>
        <v>0</v>
      </c>
      <c r="N172" s="188">
        <f t="shared" si="152"/>
        <v>0</v>
      </c>
      <c r="O172" s="188">
        <f t="shared" si="153"/>
        <v>0</v>
      </c>
      <c r="P172" s="187" t="str">
        <f t="shared" si="154"/>
        <v/>
      </c>
      <c r="Q172" s="199">
        <f t="shared" si="155"/>
        <v>0</v>
      </c>
      <c r="R172" s="204" t="str">
        <f t="shared" si="156"/>
        <v/>
      </c>
      <c r="S172" s="184" t="str">
        <f t="shared" si="157"/>
        <v/>
      </c>
      <c r="T172" s="294">
        <f t="shared" si="158"/>
        <v>0</v>
      </c>
      <c r="U172" s="294">
        <f t="shared" si="159"/>
        <v>0</v>
      </c>
      <c r="V172" s="294" t="str">
        <f t="shared" si="160"/>
        <v/>
      </c>
      <c r="AF172" s="27"/>
      <c r="AQ172" s="1"/>
      <c r="AR172" s="1"/>
      <c r="AS172" s="1"/>
      <c r="AT172" s="1"/>
      <c r="BG172" s="1"/>
      <c r="BH172" s="1"/>
    </row>
    <row r="173" spans="1:60" hidden="1" x14ac:dyDescent="0.2">
      <c r="C173" s="82">
        <v>13</v>
      </c>
      <c r="D173" s="1" t="s">
        <v>44</v>
      </c>
      <c r="E173" s="171">
        <f>Entrants!D156+COUNTIF(N$17:N$43,$D173)</f>
        <v>0</v>
      </c>
      <c r="F173" s="128">
        <f>Entrants!E156+COUNTIF(O$17:O$43,$D173)</f>
        <v>0</v>
      </c>
      <c r="G173" s="128"/>
      <c r="H173" s="128">
        <f>Entrants!G156+COUNTIF(P$17:P$43,$D173)</f>
        <v>0</v>
      </c>
      <c r="I173" s="128">
        <f>Entrants!H156+COUNTIF(Q$17:Q$43,$D173)</f>
        <v>0</v>
      </c>
      <c r="J173" s="128"/>
      <c r="K173" s="128">
        <f>Entrants!J156+COUNTIF(R$17:R$43,$D173)</f>
        <v>0</v>
      </c>
      <c r="L173" s="128">
        <f>Entrants!K156+COUNTIF(S$17:S$43,$D173)</f>
        <v>0</v>
      </c>
      <c r="M173" s="172">
        <f>Entrants!L156+COUNTIF(U$17:U$43,$D173)</f>
        <v>0</v>
      </c>
      <c r="N173" s="188">
        <f t="shared" si="152"/>
        <v>0</v>
      </c>
      <c r="O173" s="188">
        <f t="shared" si="153"/>
        <v>0</v>
      </c>
      <c r="P173" s="187" t="str">
        <f t="shared" si="154"/>
        <v/>
      </c>
      <c r="Q173" s="199">
        <f t="shared" si="155"/>
        <v>0</v>
      </c>
      <c r="R173" s="204" t="str">
        <f t="shared" si="156"/>
        <v/>
      </c>
      <c r="S173" s="184" t="str">
        <f t="shared" si="157"/>
        <v/>
      </c>
      <c r="T173" s="294">
        <f t="shared" si="158"/>
        <v>0</v>
      </c>
      <c r="U173" s="294">
        <f t="shared" si="159"/>
        <v>0</v>
      </c>
      <c r="V173" s="294" t="str">
        <f t="shared" si="160"/>
        <v/>
      </c>
      <c r="AF173" s="27"/>
      <c r="AQ173" s="1"/>
      <c r="AR173" s="1"/>
      <c r="AS173" s="1"/>
      <c r="AT173" s="1"/>
      <c r="BG173" s="1"/>
      <c r="BH173" s="1"/>
    </row>
    <row r="174" spans="1:60" hidden="1" x14ac:dyDescent="0.2">
      <c r="C174" s="82">
        <v>14</v>
      </c>
      <c r="D174" s="1" t="s">
        <v>45</v>
      </c>
      <c r="E174" s="171">
        <f>Entrants!D157+COUNTIF(N$17:N$43,$D174)</f>
        <v>0</v>
      </c>
      <c r="F174" s="128">
        <f>Entrants!E157+COUNTIF(O$17:O$43,$D174)</f>
        <v>0</v>
      </c>
      <c r="G174" s="128"/>
      <c r="H174" s="128">
        <f>Entrants!G157+COUNTIF(P$17:P$43,$D174)</f>
        <v>0</v>
      </c>
      <c r="I174" s="128">
        <f>Entrants!H157+COUNTIF(Q$17:Q$43,$D174)</f>
        <v>0</v>
      </c>
      <c r="J174" s="128"/>
      <c r="K174" s="128">
        <f>Entrants!J157+COUNTIF(R$17:R$43,$D174)</f>
        <v>0</v>
      </c>
      <c r="L174" s="128">
        <f>Entrants!K157+COUNTIF(S$17:S$43,$D174)</f>
        <v>0</v>
      </c>
      <c r="M174" s="172">
        <f>Entrants!L157+COUNTIF(U$17:U$43,$D174)</f>
        <v>0</v>
      </c>
      <c r="N174" s="188">
        <f t="shared" si="152"/>
        <v>0</v>
      </c>
      <c r="O174" s="188">
        <f t="shared" si="153"/>
        <v>0</v>
      </c>
      <c r="P174" s="187" t="str">
        <f t="shared" si="154"/>
        <v/>
      </c>
      <c r="Q174" s="199">
        <f t="shared" si="155"/>
        <v>0</v>
      </c>
      <c r="R174" s="204" t="str">
        <f t="shared" si="156"/>
        <v/>
      </c>
      <c r="S174" s="184" t="str">
        <f t="shared" si="157"/>
        <v/>
      </c>
      <c r="T174" s="294">
        <f t="shared" si="158"/>
        <v>0</v>
      </c>
      <c r="U174" s="294">
        <f t="shared" si="159"/>
        <v>0</v>
      </c>
      <c r="V174" s="294" t="str">
        <f t="shared" si="160"/>
        <v/>
      </c>
      <c r="AF174" s="27"/>
      <c r="AQ174" s="1"/>
      <c r="AR174" s="1"/>
      <c r="AS174" s="1"/>
      <c r="AT174" s="1"/>
      <c r="BG174" s="1"/>
      <c r="BH174" s="1"/>
    </row>
    <row r="175" spans="1:60" hidden="1" x14ac:dyDescent="0.2">
      <c r="C175" s="82">
        <v>15</v>
      </c>
      <c r="D175" s="1" t="s">
        <v>46</v>
      </c>
      <c r="E175" s="171">
        <f>Entrants!D158+COUNTIF(N$17:N$43,$D175)</f>
        <v>0</v>
      </c>
      <c r="F175" s="128">
        <f>Entrants!E158+COUNTIF(O$17:O$43,$D175)</f>
        <v>0</v>
      </c>
      <c r="G175" s="128"/>
      <c r="H175" s="128">
        <f>Entrants!G158+COUNTIF(P$17:P$43,$D175)</f>
        <v>0</v>
      </c>
      <c r="I175" s="128">
        <f>Entrants!H158+COUNTIF(Q$17:Q$43,$D175)</f>
        <v>0</v>
      </c>
      <c r="J175" s="128"/>
      <c r="K175" s="128">
        <f>Entrants!J158+COUNTIF(R$17:R$43,$D175)</f>
        <v>0</v>
      </c>
      <c r="L175" s="128">
        <f>Entrants!K158+COUNTIF(S$17:S$43,$D175)</f>
        <v>0</v>
      </c>
      <c r="M175" s="172">
        <f>Entrants!L158+COUNTIF(U$17:U$43,$D175)</f>
        <v>0</v>
      </c>
      <c r="N175" s="188">
        <f t="shared" si="152"/>
        <v>0</v>
      </c>
      <c r="O175" s="188">
        <f t="shared" si="153"/>
        <v>0</v>
      </c>
      <c r="P175" s="187" t="str">
        <f t="shared" si="154"/>
        <v/>
      </c>
      <c r="Q175" s="199">
        <f t="shared" si="155"/>
        <v>0</v>
      </c>
      <c r="R175" s="204" t="str">
        <f t="shared" si="156"/>
        <v/>
      </c>
      <c r="S175" s="184" t="str">
        <f t="shared" si="157"/>
        <v/>
      </c>
      <c r="T175" s="294">
        <f t="shared" si="158"/>
        <v>0</v>
      </c>
      <c r="U175" s="294">
        <f t="shared" si="159"/>
        <v>0</v>
      </c>
      <c r="V175" s="294" t="str">
        <f t="shared" si="160"/>
        <v/>
      </c>
      <c r="AF175" s="27"/>
      <c r="AQ175" s="1"/>
      <c r="AR175" s="1"/>
      <c r="AS175" s="1"/>
      <c r="AT175" s="1"/>
      <c r="BG175" s="1"/>
      <c r="BH175" s="1"/>
    </row>
    <row r="176" spans="1:60" hidden="1" x14ac:dyDescent="0.2">
      <c r="C176" s="82">
        <v>16</v>
      </c>
      <c r="D176" s="1" t="s">
        <v>47</v>
      </c>
      <c r="E176" s="171">
        <f>Entrants!D159+COUNTIF(N$17:N$43,$D176)</f>
        <v>0</v>
      </c>
      <c r="F176" s="128">
        <f>Entrants!E159+COUNTIF(O$17:O$43,$D176)</f>
        <v>0</v>
      </c>
      <c r="G176" s="128"/>
      <c r="H176" s="128">
        <f>Entrants!G159+COUNTIF(P$17:P$43,$D176)</f>
        <v>0</v>
      </c>
      <c r="I176" s="128">
        <f>Entrants!H159+COUNTIF(Q$17:Q$43,$D176)</f>
        <v>0</v>
      </c>
      <c r="J176" s="128"/>
      <c r="K176" s="128">
        <f>Entrants!J159+COUNTIF(R$17:R$43,$D176)</f>
        <v>0</v>
      </c>
      <c r="L176" s="128">
        <f>Entrants!K159+COUNTIF(S$17:S$43,$D176)</f>
        <v>0</v>
      </c>
      <c r="M176" s="172">
        <f>Entrants!L159+COUNTIF(U$17:U$43,$D176)</f>
        <v>0</v>
      </c>
      <c r="N176" s="188">
        <f t="shared" si="152"/>
        <v>0</v>
      </c>
      <c r="O176" s="188">
        <f t="shared" si="153"/>
        <v>0</v>
      </c>
      <c r="P176" s="187" t="str">
        <f t="shared" si="154"/>
        <v/>
      </c>
      <c r="Q176" s="199">
        <f t="shared" si="155"/>
        <v>0</v>
      </c>
      <c r="R176" s="204" t="str">
        <f t="shared" si="156"/>
        <v/>
      </c>
      <c r="S176" s="184" t="str">
        <f t="shared" si="157"/>
        <v/>
      </c>
      <c r="T176" s="294">
        <f t="shared" si="158"/>
        <v>0</v>
      </c>
      <c r="U176" s="294">
        <f t="shared" si="159"/>
        <v>0</v>
      </c>
      <c r="V176" s="294" t="str">
        <f t="shared" si="160"/>
        <v/>
      </c>
      <c r="AF176" s="27"/>
      <c r="AQ176" s="1"/>
      <c r="AR176" s="1"/>
      <c r="AS176" s="1"/>
      <c r="AT176" s="1"/>
      <c r="BG176" s="1"/>
      <c r="BH176" s="1"/>
    </row>
    <row r="177" spans="1:60" hidden="1" x14ac:dyDescent="0.2">
      <c r="C177" s="82">
        <v>17</v>
      </c>
      <c r="D177" s="1" t="s">
        <v>48</v>
      </c>
      <c r="E177" s="171">
        <f>Entrants!D160+COUNTIF(N$17:N$43,$D177)</f>
        <v>0</v>
      </c>
      <c r="F177" s="128">
        <f>Entrants!E160+COUNTIF(O$17:O$43,$D177)</f>
        <v>0</v>
      </c>
      <c r="G177" s="128"/>
      <c r="H177" s="128">
        <f>Entrants!G160+COUNTIF(P$17:P$43,$D177)</f>
        <v>0</v>
      </c>
      <c r="I177" s="128">
        <f>Entrants!H160+COUNTIF(Q$17:Q$43,$D177)</f>
        <v>0</v>
      </c>
      <c r="J177" s="128"/>
      <c r="K177" s="128">
        <f>Entrants!J160+COUNTIF(R$17:R$43,$D177)</f>
        <v>0</v>
      </c>
      <c r="L177" s="128">
        <f>Entrants!K160+COUNTIF(S$17:S$43,$D177)</f>
        <v>0</v>
      </c>
      <c r="M177" s="172">
        <f>Entrants!L160+COUNTIF(U$17:U$43,$D177)</f>
        <v>0</v>
      </c>
      <c r="N177" s="188">
        <f t="shared" si="152"/>
        <v>0</v>
      </c>
      <c r="O177" s="188">
        <f t="shared" si="153"/>
        <v>0</v>
      </c>
      <c r="P177" s="187" t="str">
        <f t="shared" si="154"/>
        <v/>
      </c>
      <c r="Q177" s="199">
        <f t="shared" si="155"/>
        <v>0</v>
      </c>
      <c r="R177" s="204" t="str">
        <f t="shared" si="156"/>
        <v/>
      </c>
      <c r="S177" s="184" t="str">
        <f t="shared" si="157"/>
        <v/>
      </c>
      <c r="T177" s="294">
        <f t="shared" si="158"/>
        <v>0</v>
      </c>
      <c r="U177" s="294">
        <f t="shared" si="159"/>
        <v>0</v>
      </c>
      <c r="V177" s="294" t="str">
        <f t="shared" si="160"/>
        <v/>
      </c>
      <c r="AF177" s="27"/>
      <c r="AQ177" s="1"/>
      <c r="AR177" s="1"/>
      <c r="AS177" s="1"/>
      <c r="AT177" s="1"/>
      <c r="BG177" s="1"/>
      <c r="BH177" s="1"/>
    </row>
    <row r="178" spans="1:60" ht="13.5" hidden="1" thickBot="1" x14ac:dyDescent="0.25">
      <c r="A178" s="252"/>
      <c r="C178" s="82">
        <v>18</v>
      </c>
      <c r="D178" s="1" t="s">
        <v>49</v>
      </c>
      <c r="E178" s="171">
        <f>Entrants!D161+COUNTIF(N$17:N$43,$D178)</f>
        <v>0</v>
      </c>
      <c r="F178" s="128">
        <f>Entrants!E161+COUNTIF(O$17:O$43,$D178)</f>
        <v>0</v>
      </c>
      <c r="G178" s="128"/>
      <c r="H178" s="128">
        <f>Entrants!G161+COUNTIF(P$17:P$43,$D178)</f>
        <v>0</v>
      </c>
      <c r="I178" s="128">
        <f>Entrants!H161+COUNTIF(Q$17:Q$43,$D178)</f>
        <v>0</v>
      </c>
      <c r="J178" s="128"/>
      <c r="K178" s="128">
        <f>Entrants!J161+COUNTIF(R$17:R$43,$D178)</f>
        <v>0</v>
      </c>
      <c r="L178" s="128">
        <f>Entrants!K161+COUNTIF(S$17:S$43,$D178)</f>
        <v>0</v>
      </c>
      <c r="M178" s="172">
        <f>Entrants!L161+COUNTIF(U$17:U$43,$D178)</f>
        <v>0</v>
      </c>
      <c r="N178" s="188">
        <f t="shared" si="152"/>
        <v>0</v>
      </c>
      <c r="O178" s="188">
        <f t="shared" si="153"/>
        <v>0</v>
      </c>
      <c r="P178" s="187" t="str">
        <f t="shared" si="154"/>
        <v/>
      </c>
      <c r="Q178" s="199">
        <f t="shared" si="155"/>
        <v>0</v>
      </c>
      <c r="R178" s="204" t="str">
        <f t="shared" si="156"/>
        <v/>
      </c>
      <c r="S178" s="184" t="str">
        <f t="shared" si="157"/>
        <v/>
      </c>
      <c r="T178" s="294">
        <f t="shared" si="158"/>
        <v>0</v>
      </c>
      <c r="U178" s="294">
        <f t="shared" si="159"/>
        <v>0</v>
      </c>
      <c r="V178" s="294" t="str">
        <f t="shared" si="160"/>
        <v/>
      </c>
      <c r="AF178" s="27"/>
      <c r="AQ178" s="1"/>
      <c r="AR178" s="1"/>
      <c r="AS178" s="1"/>
      <c r="AT178" s="1"/>
      <c r="BG178" s="1"/>
      <c r="BH178" s="1"/>
    </row>
    <row r="179" spans="1:60" ht="13.5" hidden="1" thickBot="1" x14ac:dyDescent="0.25">
      <c r="A179" s="252"/>
      <c r="O179" s="198">
        <f>SUM(O161:O178)</f>
        <v>0</v>
      </c>
      <c r="P179" s="187" t="str">
        <f>CONCATENATE(P161,P162,P163,P164,P165,P166,P167,P168,P169,P170,P171,P172,P173,P174,P175,P176,P177,P178,)</f>
        <v/>
      </c>
      <c r="Q179" s="200">
        <f>SUM(Q161:Q178)</f>
        <v>0</v>
      </c>
      <c r="S179" s="185" t="str">
        <f>CONCATENATE(S161,S162,S163,S164,S165,S166,S167,S168,S169,S170,S171,S172,S173,S174,S175,S176,S177,S178,)</f>
        <v/>
      </c>
      <c r="T179" s="294"/>
      <c r="U179" s="294">
        <f>SUM(U161:U178)</f>
        <v>0</v>
      </c>
      <c r="V179" s="294" t="str">
        <f>IF(U179&gt;0,CONCATENATE(V161,V162,V163,V164,V165,V166,V167,V168,V169,V170,V171,V172,V173,V174,V175,V176,V177,V178),"")</f>
        <v/>
      </c>
      <c r="AF179" s="27"/>
      <c r="AQ179" s="1"/>
      <c r="AR179" s="1"/>
      <c r="AS179" s="1"/>
      <c r="AT179" s="1"/>
      <c r="BG179" s="1"/>
      <c r="BH179" s="1"/>
    </row>
    <row r="180" spans="1:60" hidden="1" x14ac:dyDescent="0.2">
      <c r="A180" s="252"/>
      <c r="AF180" s="27"/>
      <c r="AQ180" s="1"/>
      <c r="AR180" s="1"/>
      <c r="AS180" s="1"/>
      <c r="AT180" s="1"/>
      <c r="BG180" s="1"/>
      <c r="BH180" s="1"/>
    </row>
    <row r="181" spans="1:60" hidden="1" x14ac:dyDescent="0.2">
      <c r="A181" s="252"/>
      <c r="C181" s="132" t="s">
        <v>241</v>
      </c>
      <c r="AF181" s="27"/>
      <c r="AQ181" s="1"/>
      <c r="AR181" s="1"/>
      <c r="AS181" s="1"/>
      <c r="AT181" s="1"/>
      <c r="BG181" s="1"/>
      <c r="BH181" s="1"/>
    </row>
    <row r="182" spans="1:60" hidden="1" x14ac:dyDescent="0.2">
      <c r="A182" s="252"/>
      <c r="C182" s="289" t="s">
        <v>236</v>
      </c>
      <c r="D182" s="290" t="s">
        <v>11</v>
      </c>
      <c r="E182" s="290" t="s">
        <v>237</v>
      </c>
      <c r="F182" s="290" t="s">
        <v>231</v>
      </c>
      <c r="G182" s="290"/>
      <c r="H182" s="290" t="s">
        <v>232</v>
      </c>
      <c r="I182" s="290" t="s">
        <v>238</v>
      </c>
      <c r="J182" s="290"/>
      <c r="K182" s="291" t="s">
        <v>234</v>
      </c>
      <c r="L182" s="192" t="s">
        <v>239</v>
      </c>
      <c r="O182" s="132" t="s">
        <v>241</v>
      </c>
      <c r="AF182" s="27"/>
      <c r="AQ182" s="1"/>
      <c r="AR182" s="1"/>
      <c r="AS182" s="1"/>
      <c r="AT182" s="1"/>
      <c r="BG182" s="1"/>
      <c r="BH182" s="1"/>
    </row>
    <row r="183" spans="1:60" hidden="1" x14ac:dyDescent="0.2">
      <c r="A183" s="283" t="s">
        <v>39</v>
      </c>
      <c r="B183" s="400"/>
      <c r="C183" s="193">
        <v>4</v>
      </c>
      <c r="D183" s="193">
        <v>4</v>
      </c>
      <c r="E183" s="193">
        <v>4</v>
      </c>
      <c r="F183" s="193">
        <v>4</v>
      </c>
      <c r="G183" s="193"/>
      <c r="H183" s="193">
        <v>4</v>
      </c>
      <c r="I183" s="193">
        <v>2</v>
      </c>
      <c r="J183" s="193"/>
      <c r="K183" s="193">
        <v>3</v>
      </c>
      <c r="L183" s="193"/>
      <c r="O183" s="176" t="s">
        <v>236</v>
      </c>
      <c r="P183" s="177" t="s">
        <v>11</v>
      </c>
      <c r="Q183" s="177" t="s">
        <v>237</v>
      </c>
      <c r="R183" s="177" t="s">
        <v>231</v>
      </c>
      <c r="S183" s="177" t="s">
        <v>232</v>
      </c>
      <c r="T183" s="177" t="s">
        <v>238</v>
      </c>
      <c r="U183" s="170" t="s">
        <v>234</v>
      </c>
      <c r="V183" s="194" t="s">
        <v>239</v>
      </c>
      <c r="AF183" s="27"/>
      <c r="AQ183" s="1"/>
      <c r="AR183" s="1"/>
      <c r="AS183" s="1"/>
      <c r="AT183" s="1"/>
      <c r="BG183" s="1"/>
      <c r="BH183" s="1"/>
    </row>
    <row r="184" spans="1:60" hidden="1" x14ac:dyDescent="0.2">
      <c r="A184" s="252"/>
      <c r="C184" s="278" t="str">
        <f>IF(E161&gt;C$183,1,"")</f>
        <v/>
      </c>
      <c r="D184" s="279" t="str">
        <f t="shared" ref="D184:K199" si="161">IF(F161&gt;D$183,1,"")</f>
        <v/>
      </c>
      <c r="E184" s="279" t="str">
        <f t="shared" ref="E184:E201" si="162">IF(H161&gt;E$183,1,"")</f>
        <v/>
      </c>
      <c r="F184" s="279" t="str">
        <f t="shared" ref="F184:F201" si="163">IF(I161&gt;F$183,1,"")</f>
        <v/>
      </c>
      <c r="G184" s="279"/>
      <c r="H184" s="279" t="str">
        <f t="shared" ref="H184:H201" si="164">IF(K161&gt;H$183,1,"")</f>
        <v/>
      </c>
      <c r="I184" s="279" t="str">
        <f t="shared" ref="I184:I201" si="165">IF(L161&gt;I$183,1,"")</f>
        <v/>
      </c>
      <c r="J184" s="279"/>
      <c r="K184" s="170" t="str">
        <f t="shared" si="161"/>
        <v/>
      </c>
      <c r="L184" s="280">
        <f>SUM(C184:K184)</f>
        <v>0</v>
      </c>
      <c r="O184" s="178" t="str">
        <f t="shared" ref="O184:O201" si="166">IF(C184=1,CONCATENATE("Too many shooters using Gun ",$C161," in ",C$182,"; "),"")</f>
        <v/>
      </c>
      <c r="P184" s="9" t="str">
        <f t="shared" ref="P184:P201" si="167">IF(D184=1,CONCATENATE("Too many shooters using Gun ",$C161," in ",D$182,"; "),"")</f>
        <v/>
      </c>
      <c r="Q184" s="9" t="str">
        <f t="shared" ref="Q184:Q201" si="168">IF(E184=1,CONCATENATE("Too many shooters using Gun ",$C161," in ",E$182,"; "),"")</f>
        <v/>
      </c>
      <c r="R184" s="9" t="str">
        <f t="shared" ref="R184:R201" si="169">IF(F184=1,CONCATENATE("Too many shooters using Gun ",$C161," in ",F$182,"; "),"")</f>
        <v/>
      </c>
      <c r="S184" s="9" t="str">
        <f t="shared" ref="S184:T199" si="170">IF(H184=1,CONCATENATE("Too many shooters using Gun ",$C161," in ",H$182,"; "),"")</f>
        <v/>
      </c>
      <c r="T184" s="9" t="str">
        <f t="shared" si="170"/>
        <v/>
      </c>
      <c r="U184" s="179" t="str">
        <f t="shared" ref="U184:U201" si="171">IF(K184=1,CONCATENATE("Too many shooters using Gun ",$C161," in ",K$182,"; "),"")</f>
        <v/>
      </c>
      <c r="V184" s="187" t="str">
        <f t="shared" ref="V184:V201" si="172">CONCATENATE(O184,P184,Q184,R184,S184,T184,U184,)</f>
        <v/>
      </c>
      <c r="AF184" s="27"/>
      <c r="AQ184" s="1"/>
      <c r="AR184" s="1"/>
      <c r="AS184" s="1"/>
      <c r="AT184" s="1"/>
      <c r="BG184" s="1"/>
      <c r="BH184" s="1"/>
    </row>
    <row r="185" spans="1:60" hidden="1" x14ac:dyDescent="0.2">
      <c r="A185" s="252"/>
      <c r="C185" s="171" t="str">
        <f t="shared" ref="C185:K201" si="173">IF(E162&gt;C$183,1,"")</f>
        <v/>
      </c>
      <c r="D185" s="128" t="str">
        <f t="shared" si="161"/>
        <v/>
      </c>
      <c r="E185" s="128" t="str">
        <f t="shared" si="162"/>
        <v/>
      </c>
      <c r="F185" s="128" t="str">
        <f t="shared" si="163"/>
        <v/>
      </c>
      <c r="G185" s="128"/>
      <c r="H185" s="128" t="str">
        <f t="shared" si="164"/>
        <v/>
      </c>
      <c r="I185" s="128" t="str">
        <f t="shared" si="165"/>
        <v/>
      </c>
      <c r="J185" s="128"/>
      <c r="K185" s="172" t="str">
        <f t="shared" si="161"/>
        <v/>
      </c>
      <c r="L185" s="281">
        <f t="shared" ref="L185:L201" si="174">SUM(C185:K185)</f>
        <v>0</v>
      </c>
      <c r="O185" s="178" t="str">
        <f t="shared" si="166"/>
        <v/>
      </c>
      <c r="P185" s="9" t="str">
        <f t="shared" si="167"/>
        <v/>
      </c>
      <c r="Q185" s="9" t="str">
        <f t="shared" si="168"/>
        <v/>
      </c>
      <c r="R185" s="9" t="str">
        <f t="shared" si="169"/>
        <v/>
      </c>
      <c r="S185" s="9" t="str">
        <f t="shared" si="170"/>
        <v/>
      </c>
      <c r="T185" s="9" t="str">
        <f t="shared" si="170"/>
        <v/>
      </c>
      <c r="U185" s="179" t="str">
        <f t="shared" si="171"/>
        <v/>
      </c>
      <c r="V185" s="187" t="str">
        <f t="shared" si="172"/>
        <v/>
      </c>
      <c r="AF185" s="27"/>
      <c r="AQ185" s="1"/>
      <c r="AR185" s="1"/>
      <c r="AS185" s="1"/>
      <c r="AT185" s="1"/>
      <c r="BG185" s="1"/>
      <c r="BH185" s="1"/>
    </row>
    <row r="186" spans="1:60" hidden="1" x14ac:dyDescent="0.2">
      <c r="A186" s="252"/>
      <c r="C186" s="171" t="str">
        <f t="shared" si="173"/>
        <v/>
      </c>
      <c r="D186" s="128" t="str">
        <f t="shared" si="161"/>
        <v/>
      </c>
      <c r="E186" s="128" t="str">
        <f t="shared" si="162"/>
        <v/>
      </c>
      <c r="F186" s="128" t="str">
        <f t="shared" si="163"/>
        <v/>
      </c>
      <c r="G186" s="128"/>
      <c r="H186" s="128" t="str">
        <f t="shared" si="164"/>
        <v/>
      </c>
      <c r="I186" s="128" t="str">
        <f t="shared" si="165"/>
        <v/>
      </c>
      <c r="J186" s="128"/>
      <c r="K186" s="172" t="str">
        <f t="shared" si="161"/>
        <v/>
      </c>
      <c r="L186" s="281">
        <f t="shared" si="174"/>
        <v>0</v>
      </c>
      <c r="O186" s="178" t="str">
        <f t="shared" si="166"/>
        <v/>
      </c>
      <c r="P186" s="9" t="str">
        <f t="shared" si="167"/>
        <v/>
      </c>
      <c r="Q186" s="9" t="str">
        <f t="shared" si="168"/>
        <v/>
      </c>
      <c r="R186" s="9" t="str">
        <f t="shared" si="169"/>
        <v/>
      </c>
      <c r="S186" s="9" t="str">
        <f t="shared" si="170"/>
        <v/>
      </c>
      <c r="T186" s="9" t="str">
        <f t="shared" si="170"/>
        <v/>
      </c>
      <c r="U186" s="179" t="str">
        <f t="shared" si="171"/>
        <v/>
      </c>
      <c r="V186" s="187" t="str">
        <f t="shared" si="172"/>
        <v/>
      </c>
      <c r="AF186" s="27"/>
      <c r="AQ186" s="1"/>
      <c r="AR186" s="1"/>
      <c r="AS186" s="1"/>
      <c r="AT186" s="1"/>
      <c r="BG186" s="1"/>
      <c r="BH186" s="1"/>
    </row>
    <row r="187" spans="1:60" hidden="1" x14ac:dyDescent="0.2">
      <c r="A187" s="252"/>
      <c r="C187" s="171" t="str">
        <f t="shared" si="173"/>
        <v/>
      </c>
      <c r="D187" s="128" t="str">
        <f t="shared" si="161"/>
        <v/>
      </c>
      <c r="E187" s="128" t="str">
        <f t="shared" si="162"/>
        <v/>
      </c>
      <c r="F187" s="128" t="str">
        <f t="shared" si="163"/>
        <v/>
      </c>
      <c r="G187" s="128"/>
      <c r="H187" s="128" t="str">
        <f t="shared" si="164"/>
        <v/>
      </c>
      <c r="I187" s="128" t="str">
        <f t="shared" si="165"/>
        <v/>
      </c>
      <c r="J187" s="128"/>
      <c r="K187" s="172" t="str">
        <f t="shared" si="161"/>
        <v/>
      </c>
      <c r="L187" s="281">
        <f t="shared" si="174"/>
        <v>0</v>
      </c>
      <c r="O187" s="178" t="str">
        <f t="shared" si="166"/>
        <v/>
      </c>
      <c r="P187" s="9" t="str">
        <f t="shared" si="167"/>
        <v/>
      </c>
      <c r="Q187" s="9" t="str">
        <f t="shared" si="168"/>
        <v/>
      </c>
      <c r="R187" s="9" t="str">
        <f t="shared" si="169"/>
        <v/>
      </c>
      <c r="S187" s="9" t="str">
        <f t="shared" si="170"/>
        <v/>
      </c>
      <c r="T187" s="9" t="str">
        <f t="shared" si="170"/>
        <v/>
      </c>
      <c r="U187" s="179" t="str">
        <f t="shared" si="171"/>
        <v/>
      </c>
      <c r="V187" s="187" t="str">
        <f t="shared" si="172"/>
        <v/>
      </c>
      <c r="AF187" s="27"/>
      <c r="AQ187" s="1"/>
      <c r="AR187" s="1"/>
      <c r="AS187" s="1"/>
      <c r="AT187" s="1"/>
      <c r="BG187" s="1"/>
      <c r="BH187" s="1"/>
    </row>
    <row r="188" spans="1:60" hidden="1" x14ac:dyDescent="0.2">
      <c r="A188" s="252"/>
      <c r="C188" s="171" t="str">
        <f t="shared" si="173"/>
        <v/>
      </c>
      <c r="D188" s="128" t="str">
        <f t="shared" si="161"/>
        <v/>
      </c>
      <c r="E188" s="128" t="str">
        <f t="shared" si="162"/>
        <v/>
      </c>
      <c r="F188" s="128" t="str">
        <f t="shared" si="163"/>
        <v/>
      </c>
      <c r="G188" s="128"/>
      <c r="H188" s="128" t="str">
        <f t="shared" si="164"/>
        <v/>
      </c>
      <c r="I188" s="128" t="str">
        <f t="shared" si="165"/>
        <v/>
      </c>
      <c r="J188" s="128"/>
      <c r="K188" s="172" t="str">
        <f t="shared" si="161"/>
        <v/>
      </c>
      <c r="L188" s="281">
        <f t="shared" si="174"/>
        <v>0</v>
      </c>
      <c r="O188" s="178" t="str">
        <f t="shared" si="166"/>
        <v/>
      </c>
      <c r="P188" s="9" t="str">
        <f t="shared" si="167"/>
        <v/>
      </c>
      <c r="Q188" s="9" t="str">
        <f t="shared" si="168"/>
        <v/>
      </c>
      <c r="R188" s="9" t="str">
        <f t="shared" si="169"/>
        <v/>
      </c>
      <c r="S188" s="9" t="str">
        <f t="shared" si="170"/>
        <v/>
      </c>
      <c r="T188" s="9" t="str">
        <f t="shared" si="170"/>
        <v/>
      </c>
      <c r="U188" s="179" t="str">
        <f t="shared" si="171"/>
        <v/>
      </c>
      <c r="V188" s="187" t="str">
        <f t="shared" si="172"/>
        <v/>
      </c>
      <c r="AF188" s="27"/>
      <c r="AQ188" s="1"/>
      <c r="AR188" s="1"/>
      <c r="AS188" s="1"/>
      <c r="AT188" s="1"/>
      <c r="BG188" s="1"/>
      <c r="BH188" s="1"/>
    </row>
    <row r="189" spans="1:60" hidden="1" x14ac:dyDescent="0.2">
      <c r="A189" s="252"/>
      <c r="C189" s="171" t="str">
        <f t="shared" si="173"/>
        <v/>
      </c>
      <c r="D189" s="128" t="str">
        <f t="shared" si="161"/>
        <v/>
      </c>
      <c r="E189" s="128" t="str">
        <f t="shared" si="162"/>
        <v/>
      </c>
      <c r="F189" s="128" t="str">
        <f t="shared" si="163"/>
        <v/>
      </c>
      <c r="G189" s="128"/>
      <c r="H189" s="128" t="str">
        <f t="shared" si="164"/>
        <v/>
      </c>
      <c r="I189" s="128" t="str">
        <f t="shared" si="165"/>
        <v/>
      </c>
      <c r="J189" s="128"/>
      <c r="K189" s="172" t="str">
        <f t="shared" si="161"/>
        <v/>
      </c>
      <c r="L189" s="281">
        <f t="shared" si="174"/>
        <v>0</v>
      </c>
      <c r="O189" s="178" t="str">
        <f t="shared" si="166"/>
        <v/>
      </c>
      <c r="P189" s="9" t="str">
        <f t="shared" si="167"/>
        <v/>
      </c>
      <c r="Q189" s="9" t="str">
        <f t="shared" si="168"/>
        <v/>
      </c>
      <c r="R189" s="9" t="str">
        <f t="shared" si="169"/>
        <v/>
      </c>
      <c r="S189" s="9" t="str">
        <f t="shared" si="170"/>
        <v/>
      </c>
      <c r="T189" s="9" t="str">
        <f t="shared" si="170"/>
        <v/>
      </c>
      <c r="U189" s="179" t="str">
        <f t="shared" si="171"/>
        <v/>
      </c>
      <c r="V189" s="187" t="str">
        <f t="shared" si="172"/>
        <v/>
      </c>
      <c r="AF189" s="27"/>
      <c r="AQ189" s="1"/>
      <c r="AR189" s="1"/>
      <c r="AS189" s="1"/>
      <c r="AT189" s="1"/>
      <c r="BG189" s="1"/>
      <c r="BH189" s="1"/>
    </row>
    <row r="190" spans="1:60" hidden="1" x14ac:dyDescent="0.2">
      <c r="A190" s="252"/>
      <c r="C190" s="171" t="str">
        <f t="shared" si="173"/>
        <v/>
      </c>
      <c r="D190" s="128" t="str">
        <f t="shared" si="161"/>
        <v/>
      </c>
      <c r="E190" s="128" t="str">
        <f t="shared" si="162"/>
        <v/>
      </c>
      <c r="F190" s="128" t="str">
        <f t="shared" si="163"/>
        <v/>
      </c>
      <c r="G190" s="128"/>
      <c r="H190" s="128" t="str">
        <f t="shared" si="164"/>
        <v/>
      </c>
      <c r="I190" s="128" t="str">
        <f t="shared" si="165"/>
        <v/>
      </c>
      <c r="J190" s="128"/>
      <c r="K190" s="172" t="str">
        <f t="shared" si="161"/>
        <v/>
      </c>
      <c r="L190" s="281">
        <f t="shared" si="174"/>
        <v>0</v>
      </c>
      <c r="O190" s="178" t="str">
        <f t="shared" si="166"/>
        <v/>
      </c>
      <c r="P190" s="9" t="str">
        <f t="shared" si="167"/>
        <v/>
      </c>
      <c r="Q190" s="9" t="str">
        <f t="shared" si="168"/>
        <v/>
      </c>
      <c r="R190" s="9" t="str">
        <f t="shared" si="169"/>
        <v/>
      </c>
      <c r="S190" s="9" t="str">
        <f t="shared" si="170"/>
        <v/>
      </c>
      <c r="T190" s="9" t="str">
        <f t="shared" si="170"/>
        <v/>
      </c>
      <c r="U190" s="179" t="str">
        <f t="shared" si="171"/>
        <v/>
      </c>
      <c r="V190" s="187" t="str">
        <f t="shared" si="172"/>
        <v/>
      </c>
      <c r="AF190" s="27"/>
      <c r="AQ190" s="1"/>
      <c r="AR190" s="1"/>
      <c r="AS190" s="1"/>
      <c r="AT190" s="1"/>
      <c r="BG190" s="1"/>
      <c r="BH190" s="1"/>
    </row>
    <row r="191" spans="1:60" hidden="1" x14ac:dyDescent="0.2">
      <c r="A191" s="252"/>
      <c r="C191" s="171" t="str">
        <f t="shared" si="173"/>
        <v/>
      </c>
      <c r="D191" s="128" t="str">
        <f t="shared" si="161"/>
        <v/>
      </c>
      <c r="E191" s="128" t="str">
        <f t="shared" si="162"/>
        <v/>
      </c>
      <c r="F191" s="128" t="str">
        <f t="shared" si="163"/>
        <v/>
      </c>
      <c r="G191" s="128"/>
      <c r="H191" s="128" t="str">
        <f t="shared" si="164"/>
        <v/>
      </c>
      <c r="I191" s="128" t="str">
        <f t="shared" si="165"/>
        <v/>
      </c>
      <c r="J191" s="128"/>
      <c r="K191" s="172" t="str">
        <f t="shared" si="161"/>
        <v/>
      </c>
      <c r="L191" s="281">
        <f t="shared" si="174"/>
        <v>0</v>
      </c>
      <c r="O191" s="178" t="str">
        <f t="shared" si="166"/>
        <v/>
      </c>
      <c r="P191" s="9" t="str">
        <f t="shared" si="167"/>
        <v/>
      </c>
      <c r="Q191" s="9" t="str">
        <f t="shared" si="168"/>
        <v/>
      </c>
      <c r="R191" s="9" t="str">
        <f t="shared" si="169"/>
        <v/>
      </c>
      <c r="S191" s="9" t="str">
        <f t="shared" si="170"/>
        <v/>
      </c>
      <c r="T191" s="9" t="str">
        <f t="shared" si="170"/>
        <v/>
      </c>
      <c r="U191" s="179" t="str">
        <f t="shared" si="171"/>
        <v/>
      </c>
      <c r="V191" s="187" t="str">
        <f t="shared" si="172"/>
        <v/>
      </c>
      <c r="AF191" s="27"/>
      <c r="AQ191" s="1"/>
      <c r="AR191" s="1"/>
      <c r="AS191" s="1"/>
      <c r="AT191" s="1"/>
      <c r="BG191" s="1"/>
      <c r="BH191" s="1"/>
    </row>
    <row r="192" spans="1:60" hidden="1" x14ac:dyDescent="0.2">
      <c r="A192" s="252"/>
      <c r="C192" s="171" t="str">
        <f t="shared" si="173"/>
        <v/>
      </c>
      <c r="D192" s="128" t="str">
        <f t="shared" si="161"/>
        <v/>
      </c>
      <c r="E192" s="128" t="str">
        <f t="shared" si="162"/>
        <v/>
      </c>
      <c r="F192" s="128" t="str">
        <f t="shared" si="163"/>
        <v/>
      </c>
      <c r="G192" s="128"/>
      <c r="H192" s="128" t="str">
        <f t="shared" si="164"/>
        <v/>
      </c>
      <c r="I192" s="128" t="str">
        <f t="shared" si="165"/>
        <v/>
      </c>
      <c r="J192" s="128"/>
      <c r="K192" s="172" t="str">
        <f t="shared" si="161"/>
        <v/>
      </c>
      <c r="L192" s="281">
        <f t="shared" si="174"/>
        <v>0</v>
      </c>
      <c r="O192" s="178" t="str">
        <f t="shared" si="166"/>
        <v/>
      </c>
      <c r="P192" s="9" t="str">
        <f t="shared" si="167"/>
        <v/>
      </c>
      <c r="Q192" s="9" t="str">
        <f t="shared" si="168"/>
        <v/>
      </c>
      <c r="R192" s="9" t="str">
        <f t="shared" si="169"/>
        <v/>
      </c>
      <c r="S192" s="9" t="str">
        <f t="shared" si="170"/>
        <v/>
      </c>
      <c r="T192" s="9" t="str">
        <f t="shared" si="170"/>
        <v/>
      </c>
      <c r="U192" s="179" t="str">
        <f t="shared" si="171"/>
        <v/>
      </c>
      <c r="V192" s="187" t="str">
        <f t="shared" si="172"/>
        <v/>
      </c>
      <c r="AF192" s="27"/>
      <c r="AQ192" s="1"/>
      <c r="AR192" s="1"/>
      <c r="AS192" s="1"/>
      <c r="AT192" s="1"/>
      <c r="BG192" s="1"/>
      <c r="BH192" s="1"/>
    </row>
    <row r="193" spans="1:60" hidden="1" x14ac:dyDescent="0.2">
      <c r="A193" s="252"/>
      <c r="C193" s="171" t="str">
        <f t="shared" si="173"/>
        <v/>
      </c>
      <c r="D193" s="128" t="str">
        <f t="shared" si="161"/>
        <v/>
      </c>
      <c r="E193" s="128" t="str">
        <f t="shared" si="162"/>
        <v/>
      </c>
      <c r="F193" s="128" t="str">
        <f t="shared" si="163"/>
        <v/>
      </c>
      <c r="G193" s="128"/>
      <c r="H193" s="128" t="str">
        <f t="shared" si="164"/>
        <v/>
      </c>
      <c r="I193" s="128" t="str">
        <f t="shared" si="165"/>
        <v/>
      </c>
      <c r="J193" s="128"/>
      <c r="K193" s="172" t="str">
        <f t="shared" si="161"/>
        <v/>
      </c>
      <c r="L193" s="281">
        <f t="shared" si="174"/>
        <v>0</v>
      </c>
      <c r="O193" s="178" t="str">
        <f t="shared" si="166"/>
        <v/>
      </c>
      <c r="P193" s="9" t="str">
        <f t="shared" si="167"/>
        <v/>
      </c>
      <c r="Q193" s="9" t="str">
        <f t="shared" si="168"/>
        <v/>
      </c>
      <c r="R193" s="9" t="str">
        <f t="shared" si="169"/>
        <v/>
      </c>
      <c r="S193" s="9" t="str">
        <f t="shared" si="170"/>
        <v/>
      </c>
      <c r="T193" s="9" t="str">
        <f t="shared" si="170"/>
        <v/>
      </c>
      <c r="U193" s="179" t="str">
        <f t="shared" si="171"/>
        <v/>
      </c>
      <c r="V193" s="187" t="str">
        <f t="shared" si="172"/>
        <v/>
      </c>
      <c r="AF193" s="27"/>
      <c r="AQ193" s="1"/>
      <c r="AR193" s="1"/>
      <c r="AS193" s="1"/>
      <c r="AT193" s="1"/>
      <c r="BG193" s="1"/>
      <c r="BH193" s="1"/>
    </row>
    <row r="194" spans="1:60" hidden="1" x14ac:dyDescent="0.2">
      <c r="C194" s="171" t="str">
        <f t="shared" si="173"/>
        <v/>
      </c>
      <c r="D194" s="128" t="str">
        <f t="shared" si="161"/>
        <v/>
      </c>
      <c r="E194" s="128" t="str">
        <f t="shared" si="162"/>
        <v/>
      </c>
      <c r="F194" s="128" t="str">
        <f t="shared" si="163"/>
        <v/>
      </c>
      <c r="G194" s="128"/>
      <c r="H194" s="128" t="str">
        <f t="shared" si="164"/>
        <v/>
      </c>
      <c r="I194" s="128" t="str">
        <f t="shared" si="165"/>
        <v/>
      </c>
      <c r="J194" s="128"/>
      <c r="K194" s="172" t="str">
        <f t="shared" si="161"/>
        <v/>
      </c>
      <c r="L194" s="281">
        <f t="shared" si="174"/>
        <v>0</v>
      </c>
      <c r="O194" s="178" t="str">
        <f t="shared" si="166"/>
        <v/>
      </c>
      <c r="P194" s="9" t="str">
        <f t="shared" si="167"/>
        <v/>
      </c>
      <c r="Q194" s="9" t="str">
        <f t="shared" si="168"/>
        <v/>
      </c>
      <c r="R194" s="9" t="str">
        <f t="shared" si="169"/>
        <v/>
      </c>
      <c r="S194" s="9" t="str">
        <f t="shared" si="170"/>
        <v/>
      </c>
      <c r="T194" s="9" t="str">
        <f t="shared" si="170"/>
        <v/>
      </c>
      <c r="U194" s="179" t="str">
        <f t="shared" si="171"/>
        <v/>
      </c>
      <c r="V194" s="187" t="str">
        <f t="shared" si="172"/>
        <v/>
      </c>
      <c r="AF194" s="27"/>
      <c r="AQ194" s="1"/>
      <c r="AR194" s="1"/>
      <c r="AS194" s="1"/>
      <c r="AT194" s="1"/>
      <c r="BG194" s="1"/>
      <c r="BH194" s="1"/>
    </row>
    <row r="195" spans="1:60" hidden="1" x14ac:dyDescent="0.2">
      <c r="C195" s="171" t="str">
        <f t="shared" si="173"/>
        <v/>
      </c>
      <c r="D195" s="128" t="str">
        <f t="shared" si="161"/>
        <v/>
      </c>
      <c r="E195" s="128" t="str">
        <f t="shared" si="162"/>
        <v/>
      </c>
      <c r="F195" s="128" t="str">
        <f t="shared" si="163"/>
        <v/>
      </c>
      <c r="G195" s="128"/>
      <c r="H195" s="128" t="str">
        <f t="shared" si="164"/>
        <v/>
      </c>
      <c r="I195" s="128" t="str">
        <f t="shared" si="165"/>
        <v/>
      </c>
      <c r="J195" s="128"/>
      <c r="K195" s="172" t="str">
        <f t="shared" si="161"/>
        <v/>
      </c>
      <c r="L195" s="281">
        <f t="shared" si="174"/>
        <v>0</v>
      </c>
      <c r="O195" s="178" t="str">
        <f t="shared" si="166"/>
        <v/>
      </c>
      <c r="P195" s="9" t="str">
        <f t="shared" si="167"/>
        <v/>
      </c>
      <c r="Q195" s="9" t="str">
        <f t="shared" si="168"/>
        <v/>
      </c>
      <c r="R195" s="9" t="str">
        <f t="shared" si="169"/>
        <v/>
      </c>
      <c r="S195" s="9" t="str">
        <f t="shared" si="170"/>
        <v/>
      </c>
      <c r="T195" s="9" t="str">
        <f t="shared" si="170"/>
        <v/>
      </c>
      <c r="U195" s="179" t="str">
        <f t="shared" si="171"/>
        <v/>
      </c>
      <c r="V195" s="187" t="str">
        <f t="shared" si="172"/>
        <v/>
      </c>
      <c r="AF195" s="27"/>
      <c r="AQ195" s="1"/>
      <c r="AR195" s="1"/>
      <c r="AS195" s="1"/>
      <c r="AT195" s="1"/>
      <c r="BG195" s="1"/>
      <c r="BH195" s="1"/>
    </row>
    <row r="196" spans="1:60" hidden="1" x14ac:dyDescent="0.2">
      <c r="C196" s="171" t="str">
        <f t="shared" si="173"/>
        <v/>
      </c>
      <c r="D196" s="128" t="str">
        <f t="shared" si="161"/>
        <v/>
      </c>
      <c r="E196" s="128" t="str">
        <f t="shared" si="162"/>
        <v/>
      </c>
      <c r="F196" s="128" t="str">
        <f t="shared" si="163"/>
        <v/>
      </c>
      <c r="G196" s="128"/>
      <c r="H196" s="128" t="str">
        <f t="shared" si="164"/>
        <v/>
      </c>
      <c r="I196" s="128" t="str">
        <f t="shared" si="165"/>
        <v/>
      </c>
      <c r="J196" s="128"/>
      <c r="K196" s="172" t="str">
        <f t="shared" si="161"/>
        <v/>
      </c>
      <c r="L196" s="281">
        <f t="shared" si="174"/>
        <v>0</v>
      </c>
      <c r="O196" s="178" t="str">
        <f t="shared" si="166"/>
        <v/>
      </c>
      <c r="P196" s="9" t="str">
        <f t="shared" si="167"/>
        <v/>
      </c>
      <c r="Q196" s="9" t="str">
        <f t="shared" si="168"/>
        <v/>
      </c>
      <c r="R196" s="9" t="str">
        <f t="shared" si="169"/>
        <v/>
      </c>
      <c r="S196" s="9" t="str">
        <f t="shared" si="170"/>
        <v/>
      </c>
      <c r="T196" s="9" t="str">
        <f t="shared" si="170"/>
        <v/>
      </c>
      <c r="U196" s="179" t="str">
        <f t="shared" si="171"/>
        <v/>
      </c>
      <c r="V196" s="187" t="str">
        <f t="shared" si="172"/>
        <v/>
      </c>
      <c r="AF196" s="27"/>
      <c r="AQ196" s="1"/>
      <c r="AR196" s="1"/>
      <c r="AS196" s="1"/>
      <c r="AT196" s="1"/>
      <c r="BG196" s="1"/>
      <c r="BH196" s="1"/>
    </row>
    <row r="197" spans="1:60" hidden="1" x14ac:dyDescent="0.2">
      <c r="C197" s="171" t="str">
        <f t="shared" si="173"/>
        <v/>
      </c>
      <c r="D197" s="128" t="str">
        <f t="shared" si="161"/>
        <v/>
      </c>
      <c r="E197" s="128" t="str">
        <f t="shared" si="162"/>
        <v/>
      </c>
      <c r="F197" s="128" t="str">
        <f t="shared" si="163"/>
        <v/>
      </c>
      <c r="G197" s="128"/>
      <c r="H197" s="128" t="str">
        <f t="shared" si="164"/>
        <v/>
      </c>
      <c r="I197" s="128" t="str">
        <f t="shared" si="165"/>
        <v/>
      </c>
      <c r="J197" s="128"/>
      <c r="K197" s="172" t="str">
        <f t="shared" si="161"/>
        <v/>
      </c>
      <c r="L197" s="281">
        <f t="shared" si="174"/>
        <v>0</v>
      </c>
      <c r="O197" s="178" t="str">
        <f t="shared" si="166"/>
        <v/>
      </c>
      <c r="P197" s="9" t="str">
        <f t="shared" si="167"/>
        <v/>
      </c>
      <c r="Q197" s="9" t="str">
        <f t="shared" si="168"/>
        <v/>
      </c>
      <c r="R197" s="9" t="str">
        <f t="shared" si="169"/>
        <v/>
      </c>
      <c r="S197" s="9" t="str">
        <f t="shared" si="170"/>
        <v/>
      </c>
      <c r="T197" s="9" t="str">
        <f t="shared" si="170"/>
        <v/>
      </c>
      <c r="U197" s="179" t="str">
        <f t="shared" si="171"/>
        <v/>
      </c>
      <c r="V197" s="187" t="str">
        <f t="shared" si="172"/>
        <v/>
      </c>
      <c r="AF197" s="27"/>
      <c r="AQ197" s="1"/>
      <c r="AR197" s="1"/>
      <c r="AS197" s="1"/>
      <c r="AT197" s="1"/>
      <c r="BG197" s="1"/>
      <c r="BH197" s="1"/>
    </row>
    <row r="198" spans="1:60" hidden="1" x14ac:dyDescent="0.2">
      <c r="C198" s="171" t="str">
        <f t="shared" si="173"/>
        <v/>
      </c>
      <c r="D198" s="128" t="str">
        <f t="shared" si="161"/>
        <v/>
      </c>
      <c r="E198" s="128" t="str">
        <f t="shared" si="162"/>
        <v/>
      </c>
      <c r="F198" s="128" t="str">
        <f t="shared" si="163"/>
        <v/>
      </c>
      <c r="G198" s="128"/>
      <c r="H198" s="128" t="str">
        <f t="shared" si="164"/>
        <v/>
      </c>
      <c r="I198" s="128" t="str">
        <f t="shared" si="165"/>
        <v/>
      </c>
      <c r="J198" s="128"/>
      <c r="K198" s="172" t="str">
        <f t="shared" si="161"/>
        <v/>
      </c>
      <c r="L198" s="281">
        <f t="shared" si="174"/>
        <v>0</v>
      </c>
      <c r="O198" s="178" t="str">
        <f t="shared" si="166"/>
        <v/>
      </c>
      <c r="P198" s="9" t="str">
        <f t="shared" si="167"/>
        <v/>
      </c>
      <c r="Q198" s="9" t="str">
        <f t="shared" si="168"/>
        <v/>
      </c>
      <c r="R198" s="9" t="str">
        <f t="shared" si="169"/>
        <v/>
      </c>
      <c r="S198" s="9" t="str">
        <f t="shared" si="170"/>
        <v/>
      </c>
      <c r="T198" s="9" t="str">
        <f t="shared" si="170"/>
        <v/>
      </c>
      <c r="U198" s="179" t="str">
        <f t="shared" si="171"/>
        <v/>
      </c>
      <c r="V198" s="187" t="str">
        <f t="shared" si="172"/>
        <v/>
      </c>
      <c r="AF198" s="27"/>
      <c r="AQ198" s="1"/>
      <c r="AR198" s="1"/>
      <c r="AS198" s="1"/>
      <c r="AT198" s="1"/>
      <c r="BG198" s="1"/>
      <c r="BH198" s="1"/>
    </row>
    <row r="199" spans="1:60" hidden="1" x14ac:dyDescent="0.2">
      <c r="C199" s="171" t="str">
        <f t="shared" si="173"/>
        <v/>
      </c>
      <c r="D199" s="128" t="str">
        <f t="shared" si="161"/>
        <v/>
      </c>
      <c r="E199" s="128" t="str">
        <f t="shared" si="162"/>
        <v/>
      </c>
      <c r="F199" s="128" t="str">
        <f t="shared" si="163"/>
        <v/>
      </c>
      <c r="G199" s="128"/>
      <c r="H199" s="128" t="str">
        <f t="shared" si="164"/>
        <v/>
      </c>
      <c r="I199" s="128" t="str">
        <f t="shared" si="165"/>
        <v/>
      </c>
      <c r="J199" s="128"/>
      <c r="K199" s="172" t="str">
        <f t="shared" si="161"/>
        <v/>
      </c>
      <c r="L199" s="281">
        <f t="shared" si="174"/>
        <v>0</v>
      </c>
      <c r="O199" s="178" t="str">
        <f t="shared" si="166"/>
        <v/>
      </c>
      <c r="P199" s="9" t="str">
        <f t="shared" si="167"/>
        <v/>
      </c>
      <c r="Q199" s="9" t="str">
        <f t="shared" si="168"/>
        <v/>
      </c>
      <c r="R199" s="9" t="str">
        <f t="shared" si="169"/>
        <v/>
      </c>
      <c r="S199" s="9" t="str">
        <f t="shared" si="170"/>
        <v/>
      </c>
      <c r="T199" s="9" t="str">
        <f t="shared" si="170"/>
        <v/>
      </c>
      <c r="U199" s="179" t="str">
        <f t="shared" si="171"/>
        <v/>
      </c>
      <c r="V199" s="187" t="str">
        <f t="shared" si="172"/>
        <v/>
      </c>
      <c r="AF199" s="27"/>
      <c r="AQ199" s="1"/>
      <c r="AR199" s="1"/>
      <c r="AS199" s="1"/>
      <c r="AT199" s="1"/>
      <c r="BG199" s="1"/>
      <c r="BH199" s="1"/>
    </row>
    <row r="200" spans="1:60" hidden="1" x14ac:dyDescent="0.2">
      <c r="C200" s="171" t="str">
        <f t="shared" si="173"/>
        <v/>
      </c>
      <c r="D200" s="128" t="str">
        <f t="shared" si="173"/>
        <v/>
      </c>
      <c r="E200" s="128" t="str">
        <f t="shared" si="162"/>
        <v/>
      </c>
      <c r="F200" s="128" t="str">
        <f t="shared" si="163"/>
        <v/>
      </c>
      <c r="G200" s="128"/>
      <c r="H200" s="128" t="str">
        <f t="shared" si="164"/>
        <v/>
      </c>
      <c r="I200" s="128" t="str">
        <f t="shared" si="165"/>
        <v/>
      </c>
      <c r="J200" s="128"/>
      <c r="K200" s="172" t="str">
        <f t="shared" si="173"/>
        <v/>
      </c>
      <c r="L200" s="281">
        <f t="shared" si="174"/>
        <v>0</v>
      </c>
      <c r="O200" s="178" t="str">
        <f t="shared" si="166"/>
        <v/>
      </c>
      <c r="P200" s="9" t="str">
        <f t="shared" si="167"/>
        <v/>
      </c>
      <c r="Q200" s="9" t="str">
        <f t="shared" si="168"/>
        <v/>
      </c>
      <c r="R200" s="9" t="str">
        <f t="shared" si="169"/>
        <v/>
      </c>
      <c r="S200" s="9" t="str">
        <f t="shared" ref="S200:T201" si="175">IF(H200=1,CONCATENATE("Too many shooters using Gun ",$C177," in ",H$182,"; "),"")</f>
        <v/>
      </c>
      <c r="T200" s="9" t="str">
        <f t="shared" si="175"/>
        <v/>
      </c>
      <c r="U200" s="179" t="str">
        <f t="shared" si="171"/>
        <v/>
      </c>
      <c r="V200" s="187" t="str">
        <f t="shared" si="172"/>
        <v/>
      </c>
      <c r="AF200" s="27"/>
      <c r="AQ200" s="1"/>
      <c r="AR200" s="1"/>
      <c r="AS200" s="1"/>
      <c r="AT200" s="1"/>
      <c r="BG200" s="1"/>
      <c r="BH200" s="1"/>
    </row>
    <row r="201" spans="1:60" hidden="1" x14ac:dyDescent="0.2">
      <c r="C201" s="173" t="str">
        <f t="shared" si="173"/>
        <v/>
      </c>
      <c r="D201" s="174" t="str">
        <f t="shared" si="173"/>
        <v/>
      </c>
      <c r="E201" s="174" t="str">
        <f t="shared" si="162"/>
        <v/>
      </c>
      <c r="F201" s="174" t="str">
        <f t="shared" si="163"/>
        <v/>
      </c>
      <c r="G201" s="174"/>
      <c r="H201" s="174" t="str">
        <f t="shared" si="164"/>
        <v/>
      </c>
      <c r="I201" s="174" t="str">
        <f t="shared" si="165"/>
        <v/>
      </c>
      <c r="J201" s="174"/>
      <c r="K201" s="175" t="str">
        <f t="shared" si="173"/>
        <v/>
      </c>
      <c r="L201" s="282">
        <f t="shared" si="174"/>
        <v>0</v>
      </c>
      <c r="O201" s="180" t="str">
        <f t="shared" si="166"/>
        <v/>
      </c>
      <c r="P201" s="181" t="str">
        <f t="shared" si="167"/>
        <v/>
      </c>
      <c r="Q201" s="181" t="str">
        <f t="shared" si="168"/>
        <v/>
      </c>
      <c r="R201" s="181" t="str">
        <f t="shared" si="169"/>
        <v/>
      </c>
      <c r="S201" s="181" t="str">
        <f t="shared" si="175"/>
        <v/>
      </c>
      <c r="T201" s="181" t="str">
        <f t="shared" si="175"/>
        <v/>
      </c>
      <c r="U201" s="182" t="str">
        <f t="shared" si="171"/>
        <v/>
      </c>
      <c r="V201" s="187" t="str">
        <f t="shared" si="172"/>
        <v/>
      </c>
      <c r="AF201" s="27"/>
      <c r="AQ201" s="1"/>
      <c r="AR201" s="1"/>
      <c r="AS201" s="1"/>
      <c r="AT201" s="1"/>
      <c r="BG201" s="1"/>
      <c r="BH201" s="1"/>
    </row>
    <row r="202" spans="1:60" ht="13.5" hidden="1" thickBot="1" x14ac:dyDescent="0.25">
      <c r="L202" s="277">
        <f>SUM(L184:L201)</f>
        <v>0</v>
      </c>
      <c r="AF202" s="27"/>
      <c r="AQ202" s="1"/>
      <c r="AR202" s="1"/>
      <c r="AS202" s="1"/>
      <c r="AT202" s="1"/>
      <c r="BG202" s="1"/>
      <c r="BH202" s="1"/>
    </row>
    <row r="203" spans="1:60" hidden="1" x14ac:dyDescent="0.2">
      <c r="U203" s="183" t="s">
        <v>240</v>
      </c>
      <c r="V203" s="187" t="str">
        <f>CONCATENATE(V184,V185,V186,V187,V188,V189,V190,V191,V192,V193,V194,V195,V196,V197,V198,V199,V200,V201,)</f>
        <v/>
      </c>
      <c r="AF203" s="27"/>
      <c r="AQ203" s="1"/>
      <c r="AR203" s="1"/>
      <c r="AS203" s="1"/>
      <c r="AT203" s="1"/>
      <c r="BG203" s="1"/>
      <c r="BH203" s="1"/>
    </row>
    <row r="204" spans="1:60" hidden="1" x14ac:dyDescent="0.2">
      <c r="C204" s="221" t="s">
        <v>257</v>
      </c>
      <c r="D204" s="222"/>
      <c r="E204" s="222"/>
      <c r="F204" s="222"/>
      <c r="G204" s="222"/>
      <c r="H204" s="223"/>
      <c r="AF204" s="27"/>
      <c r="AQ204" s="1"/>
      <c r="AR204" s="1"/>
      <c r="AS204" s="1"/>
      <c r="AT204" s="1"/>
      <c r="BG204" s="1"/>
      <c r="BH204" s="1"/>
    </row>
    <row r="205" spans="1:60" hidden="1" x14ac:dyDescent="0.2">
      <c r="C205" s="224" t="s">
        <v>235</v>
      </c>
      <c r="D205" s="9"/>
      <c r="E205" s="9"/>
      <c r="F205" s="177" t="s">
        <v>11</v>
      </c>
      <c r="G205" s="486"/>
      <c r="H205" s="179"/>
      <c r="AF205" s="27"/>
      <c r="AQ205" s="1"/>
      <c r="AR205" s="1"/>
      <c r="AS205" s="1"/>
      <c r="AT205" s="1"/>
      <c r="BG205" s="1"/>
      <c r="BH205" s="1"/>
    </row>
    <row r="206" spans="1:60" hidden="1" x14ac:dyDescent="0.2">
      <c r="C206" s="224">
        <v>1</v>
      </c>
      <c r="D206" s="9"/>
      <c r="E206" s="9"/>
      <c r="F206" s="188" t="str">
        <f t="shared" ref="F206:F223" si="176">IF(AND(F161&gt;0,(SUM(E161,H161:L161)&gt;0)),1,"")</f>
        <v/>
      </c>
      <c r="G206" s="188"/>
      <c r="H206" s="225" t="str">
        <f>IF(F206=1,CONCATENATE(" Gun ",$C206," identified both as Pistol and Rifle! "),"")</f>
        <v/>
      </c>
      <c r="AF206" s="27"/>
      <c r="AQ206" s="1"/>
      <c r="AR206" s="1"/>
      <c r="AS206" s="1"/>
      <c r="AT206" s="1"/>
      <c r="BG206" s="1"/>
      <c r="BH206" s="1"/>
    </row>
    <row r="207" spans="1:60" hidden="1" x14ac:dyDescent="0.2">
      <c r="C207" s="224">
        <v>2</v>
      </c>
      <c r="D207" s="9"/>
      <c r="E207" s="9"/>
      <c r="F207" s="188" t="str">
        <f t="shared" si="176"/>
        <v/>
      </c>
      <c r="G207" s="188"/>
      <c r="H207" s="225" t="str">
        <f t="shared" ref="H207:H222" si="177">IF(F207=1,CONCATENATE(" Gun ",$C207," identified both as Pistol and Rifle! "),"")</f>
        <v/>
      </c>
      <c r="AF207" s="27"/>
      <c r="AQ207" s="1"/>
      <c r="AR207" s="1"/>
      <c r="AS207" s="1"/>
      <c r="AT207" s="1"/>
      <c r="BG207" s="1"/>
      <c r="BH207" s="1"/>
    </row>
    <row r="208" spans="1:60" hidden="1" x14ac:dyDescent="0.2">
      <c r="C208" s="224">
        <v>3</v>
      </c>
      <c r="D208" s="9"/>
      <c r="E208" s="9"/>
      <c r="F208" s="188" t="str">
        <f t="shared" si="176"/>
        <v/>
      </c>
      <c r="G208" s="188"/>
      <c r="H208" s="225" t="str">
        <f t="shared" si="177"/>
        <v/>
      </c>
      <c r="AF208" s="27"/>
      <c r="AQ208" s="1"/>
      <c r="AR208" s="1"/>
      <c r="AS208" s="1"/>
      <c r="AT208" s="1"/>
      <c r="BG208" s="1"/>
      <c r="BH208" s="1"/>
    </row>
    <row r="209" spans="3:60" hidden="1" x14ac:dyDescent="0.2">
      <c r="C209" s="224">
        <v>4</v>
      </c>
      <c r="D209" s="9"/>
      <c r="E209" s="9"/>
      <c r="F209" s="188" t="str">
        <f t="shared" si="176"/>
        <v/>
      </c>
      <c r="G209" s="188"/>
      <c r="H209" s="225" t="str">
        <f t="shared" si="177"/>
        <v/>
      </c>
      <c r="AF209" s="27"/>
      <c r="AQ209" s="1"/>
      <c r="AR209" s="1"/>
      <c r="AS209" s="1"/>
      <c r="AT209" s="1"/>
      <c r="BG209" s="1"/>
      <c r="BH209" s="1"/>
    </row>
    <row r="210" spans="3:60" hidden="1" x14ac:dyDescent="0.2">
      <c r="C210" s="224">
        <v>5</v>
      </c>
      <c r="D210" s="9"/>
      <c r="E210" s="9"/>
      <c r="F210" s="188" t="str">
        <f t="shared" si="176"/>
        <v/>
      </c>
      <c r="G210" s="188"/>
      <c r="H210" s="225" t="str">
        <f t="shared" si="177"/>
        <v/>
      </c>
      <c r="AF210" s="27"/>
      <c r="AQ210" s="1"/>
      <c r="AR210" s="1"/>
      <c r="AS210" s="1"/>
      <c r="AT210" s="1"/>
      <c r="BG210" s="1"/>
      <c r="BH210" s="1"/>
    </row>
    <row r="211" spans="3:60" hidden="1" x14ac:dyDescent="0.2">
      <c r="C211" s="224">
        <v>6</v>
      </c>
      <c r="D211" s="9"/>
      <c r="E211" s="9"/>
      <c r="F211" s="188" t="str">
        <f t="shared" si="176"/>
        <v/>
      </c>
      <c r="G211" s="188"/>
      <c r="H211" s="225" t="str">
        <f t="shared" si="177"/>
        <v/>
      </c>
      <c r="AF211" s="27"/>
      <c r="AQ211" s="1"/>
      <c r="AR211" s="1"/>
      <c r="AS211" s="1"/>
      <c r="AT211" s="1"/>
      <c r="BG211" s="1"/>
      <c r="BH211" s="1"/>
    </row>
    <row r="212" spans="3:60" hidden="1" x14ac:dyDescent="0.2">
      <c r="C212" s="224">
        <v>7</v>
      </c>
      <c r="D212" s="9"/>
      <c r="E212" s="9"/>
      <c r="F212" s="188" t="str">
        <f t="shared" si="176"/>
        <v/>
      </c>
      <c r="G212" s="188"/>
      <c r="H212" s="225" t="str">
        <f t="shared" si="177"/>
        <v/>
      </c>
      <c r="AF212" s="27"/>
      <c r="AQ212" s="1"/>
      <c r="AR212" s="1"/>
      <c r="AS212" s="1"/>
      <c r="AT212" s="1"/>
      <c r="BG212" s="1"/>
      <c r="BH212" s="1"/>
    </row>
    <row r="213" spans="3:60" hidden="1" x14ac:dyDescent="0.2">
      <c r="C213" s="224">
        <v>8</v>
      </c>
      <c r="D213" s="9"/>
      <c r="E213" s="9"/>
      <c r="F213" s="188" t="str">
        <f t="shared" si="176"/>
        <v/>
      </c>
      <c r="G213" s="188"/>
      <c r="H213" s="225" t="str">
        <f t="shared" si="177"/>
        <v/>
      </c>
      <c r="AF213" s="27"/>
      <c r="AQ213" s="1"/>
      <c r="AR213" s="1"/>
      <c r="AS213" s="1"/>
      <c r="AT213" s="1"/>
      <c r="BG213" s="1"/>
      <c r="BH213" s="1"/>
    </row>
    <row r="214" spans="3:60" hidden="1" x14ac:dyDescent="0.2">
      <c r="C214" s="224">
        <v>9</v>
      </c>
      <c r="D214" s="9"/>
      <c r="E214" s="9"/>
      <c r="F214" s="188" t="str">
        <f t="shared" si="176"/>
        <v/>
      </c>
      <c r="G214" s="188"/>
      <c r="H214" s="225" t="str">
        <f t="shared" si="177"/>
        <v/>
      </c>
      <c r="AF214" s="27"/>
      <c r="AQ214" s="1"/>
      <c r="AR214" s="1"/>
      <c r="AS214" s="1"/>
      <c r="AT214" s="1"/>
      <c r="BG214" s="1"/>
      <c r="BH214" s="1"/>
    </row>
    <row r="215" spans="3:60" hidden="1" x14ac:dyDescent="0.2">
      <c r="C215" s="224">
        <v>10</v>
      </c>
      <c r="D215" s="9"/>
      <c r="E215" s="9"/>
      <c r="F215" s="188" t="str">
        <f t="shared" si="176"/>
        <v/>
      </c>
      <c r="G215" s="188"/>
      <c r="H215" s="225" t="str">
        <f t="shared" si="177"/>
        <v/>
      </c>
      <c r="AF215" s="27"/>
      <c r="AQ215" s="1"/>
      <c r="AR215" s="1"/>
      <c r="AS215" s="1"/>
      <c r="AT215" s="1"/>
      <c r="BG215" s="1"/>
      <c r="BH215" s="1"/>
    </row>
    <row r="216" spans="3:60" hidden="1" x14ac:dyDescent="0.2">
      <c r="C216" s="224">
        <v>11</v>
      </c>
      <c r="D216" s="9"/>
      <c r="E216" s="9"/>
      <c r="F216" s="188" t="str">
        <f t="shared" si="176"/>
        <v/>
      </c>
      <c r="G216" s="188"/>
      <c r="H216" s="225" t="str">
        <f t="shared" si="177"/>
        <v/>
      </c>
      <c r="AF216" s="27"/>
      <c r="AQ216" s="1"/>
      <c r="AR216" s="1"/>
      <c r="AS216" s="1"/>
      <c r="AT216" s="1"/>
      <c r="BG216" s="1"/>
      <c r="BH216" s="1"/>
    </row>
    <row r="217" spans="3:60" hidden="1" x14ac:dyDescent="0.2">
      <c r="C217" s="224">
        <v>12</v>
      </c>
      <c r="D217" s="9"/>
      <c r="E217" s="9"/>
      <c r="F217" s="188" t="str">
        <f t="shared" si="176"/>
        <v/>
      </c>
      <c r="G217" s="188"/>
      <c r="H217" s="225" t="str">
        <f t="shared" si="177"/>
        <v/>
      </c>
      <c r="AF217" s="27"/>
      <c r="AQ217" s="1"/>
      <c r="AR217" s="1"/>
      <c r="AS217" s="1"/>
      <c r="AT217" s="1"/>
      <c r="BG217" s="1"/>
      <c r="BH217" s="1"/>
    </row>
    <row r="218" spans="3:60" hidden="1" x14ac:dyDescent="0.2">
      <c r="C218" s="224">
        <v>13</v>
      </c>
      <c r="D218" s="9"/>
      <c r="E218" s="9"/>
      <c r="F218" s="188" t="str">
        <f t="shared" si="176"/>
        <v/>
      </c>
      <c r="G218" s="188"/>
      <c r="H218" s="225" t="str">
        <f t="shared" si="177"/>
        <v/>
      </c>
      <c r="AF218" s="27"/>
      <c r="AQ218" s="1"/>
      <c r="AR218" s="1"/>
      <c r="AS218" s="1"/>
      <c r="AT218" s="1"/>
      <c r="BG218" s="1"/>
      <c r="BH218" s="1"/>
    </row>
    <row r="219" spans="3:60" hidden="1" x14ac:dyDescent="0.2">
      <c r="C219" s="224">
        <v>14</v>
      </c>
      <c r="D219" s="9"/>
      <c r="E219" s="9"/>
      <c r="F219" s="188" t="str">
        <f t="shared" si="176"/>
        <v/>
      </c>
      <c r="G219" s="188"/>
      <c r="H219" s="225" t="str">
        <f t="shared" si="177"/>
        <v/>
      </c>
      <c r="AF219" s="27"/>
      <c r="AQ219" s="1"/>
      <c r="AR219" s="1"/>
      <c r="AS219" s="1"/>
      <c r="AT219" s="1"/>
      <c r="BG219" s="1"/>
      <c r="BH219" s="1"/>
    </row>
    <row r="220" spans="3:60" hidden="1" x14ac:dyDescent="0.2">
      <c r="C220" s="224">
        <v>15</v>
      </c>
      <c r="D220" s="9"/>
      <c r="E220" s="9"/>
      <c r="F220" s="188" t="str">
        <f t="shared" si="176"/>
        <v/>
      </c>
      <c r="G220" s="188"/>
      <c r="H220" s="225" t="str">
        <f t="shared" si="177"/>
        <v/>
      </c>
      <c r="AF220" s="27"/>
      <c r="AQ220" s="1"/>
      <c r="AR220" s="1"/>
      <c r="AS220" s="1"/>
      <c r="AT220" s="1"/>
      <c r="BG220" s="1"/>
      <c r="BH220" s="1"/>
    </row>
    <row r="221" spans="3:60" hidden="1" x14ac:dyDescent="0.2">
      <c r="C221" s="224">
        <v>16</v>
      </c>
      <c r="D221" s="9"/>
      <c r="E221" s="9"/>
      <c r="F221" s="188" t="str">
        <f t="shared" si="176"/>
        <v/>
      </c>
      <c r="G221" s="188"/>
      <c r="H221" s="225" t="str">
        <f t="shared" si="177"/>
        <v/>
      </c>
      <c r="AF221" s="27"/>
      <c r="AQ221" s="1"/>
      <c r="AR221" s="1"/>
      <c r="AS221" s="1"/>
      <c r="AT221" s="1"/>
      <c r="BG221" s="1"/>
      <c r="BH221" s="1"/>
    </row>
    <row r="222" spans="3:60" hidden="1" x14ac:dyDescent="0.2">
      <c r="C222" s="224">
        <v>17</v>
      </c>
      <c r="D222" s="9"/>
      <c r="E222" s="9"/>
      <c r="F222" s="188" t="str">
        <f t="shared" si="176"/>
        <v/>
      </c>
      <c r="G222" s="188"/>
      <c r="H222" s="225" t="str">
        <f t="shared" si="177"/>
        <v/>
      </c>
      <c r="AF222" s="27"/>
      <c r="AQ222" s="1"/>
      <c r="AR222" s="1"/>
      <c r="AS222" s="1"/>
      <c r="AT222" s="1"/>
      <c r="BG222" s="1"/>
      <c r="BH222" s="1"/>
    </row>
    <row r="223" spans="3:60" ht="13.5" hidden="1" thickBot="1" x14ac:dyDescent="0.25">
      <c r="C223" s="224">
        <v>18</v>
      </c>
      <c r="D223" s="9"/>
      <c r="E223" s="9"/>
      <c r="F223" s="188" t="str">
        <f t="shared" si="176"/>
        <v/>
      </c>
      <c r="G223" s="188"/>
      <c r="H223" s="225" t="str">
        <f>IF(F223=1,CONCATENATE(" Gun ",$C223," identified both as Pistol and Rifle! "),"")</f>
        <v/>
      </c>
      <c r="AF223" s="27"/>
      <c r="AQ223" s="1"/>
      <c r="AR223" s="1"/>
      <c r="AS223" s="1"/>
      <c r="AT223" s="1"/>
      <c r="BG223" s="1"/>
      <c r="BH223" s="1"/>
    </row>
    <row r="224" spans="3:60" hidden="1" x14ac:dyDescent="0.2">
      <c r="C224" s="180"/>
      <c r="D224" s="181"/>
      <c r="E224" s="181"/>
      <c r="F224" s="226">
        <f>SUM(F206:F223)</f>
        <v>0</v>
      </c>
      <c r="G224" s="487"/>
      <c r="H224" s="227" t="str">
        <f>CONCATENATE(H206,H207,H208,H209,H210,H211,H212,H213,H214,H215,H216,H217,H218,H219,H220,H221,H222,H223,)</f>
        <v/>
      </c>
      <c r="AF224" s="27"/>
      <c r="AQ224" s="1"/>
      <c r="AR224" s="1"/>
      <c r="AS224" s="1"/>
      <c r="AT224" s="1"/>
      <c r="BG224" s="1"/>
      <c r="BH224" s="1"/>
    </row>
    <row r="225" spans="3:60" hidden="1" x14ac:dyDescent="0.2">
      <c r="AF225" s="27"/>
      <c r="AQ225" s="1"/>
      <c r="AR225" s="1"/>
      <c r="AS225" s="1"/>
      <c r="AT225" s="1"/>
      <c r="BG225" s="1"/>
      <c r="BH225" s="1"/>
    </row>
    <row r="226" spans="3:60" hidden="1" x14ac:dyDescent="0.2">
      <c r="C226" s="221" t="s">
        <v>245</v>
      </c>
      <c r="D226" s="222"/>
      <c r="E226" s="222"/>
      <c r="F226" s="222"/>
      <c r="G226" s="222"/>
      <c r="H226" s="222"/>
      <c r="I226" s="222"/>
      <c r="J226" s="222"/>
      <c r="K226" s="222"/>
      <c r="L226" s="223"/>
      <c r="AF226" s="27"/>
      <c r="AQ226" s="1"/>
      <c r="AR226" s="1"/>
      <c r="AS226" s="1"/>
      <c r="AT226" s="1"/>
      <c r="BG226" s="1"/>
      <c r="BH226" s="1"/>
    </row>
    <row r="227" spans="3:60" hidden="1" x14ac:dyDescent="0.2">
      <c r="C227" s="224" t="s">
        <v>235</v>
      </c>
      <c r="D227" s="177" t="s">
        <v>237</v>
      </c>
      <c r="E227" s="195" t="s">
        <v>230</v>
      </c>
      <c r="F227" s="196" t="s">
        <v>231</v>
      </c>
      <c r="G227" s="196"/>
      <c r="H227" s="196" t="s">
        <v>232</v>
      </c>
      <c r="I227" s="196" t="s">
        <v>233</v>
      </c>
      <c r="J227" s="196"/>
      <c r="K227" s="197" t="s">
        <v>234</v>
      </c>
      <c r="L227" s="179"/>
      <c r="AF227" s="27"/>
      <c r="AQ227" s="1"/>
      <c r="AR227" s="1"/>
      <c r="AS227" s="1"/>
      <c r="AT227" s="1"/>
      <c r="BG227" s="1"/>
      <c r="BH227" s="1"/>
    </row>
    <row r="228" spans="3:60" hidden="1" x14ac:dyDescent="0.2">
      <c r="C228" s="224">
        <v>1</v>
      </c>
      <c r="D228" s="228" t="str">
        <f t="shared" ref="D228:D245" si="178">IF(AND(H161&gt;0,(SUM(E161,I161:L161)&gt;0)),1,"")</f>
        <v/>
      </c>
      <c r="E228" s="185" t="str">
        <f t="shared" ref="E228:E245" si="179">IF(AND($D228=1,E161&gt;0),CONCATENATE(E$160,"; "),"")</f>
        <v/>
      </c>
      <c r="F228" s="185" t="str">
        <f t="shared" ref="F228:F245" si="180">IF(AND($D228=1,I161&gt;0),CONCATENATE(I$160,"; "),"")</f>
        <v/>
      </c>
      <c r="G228" s="185"/>
      <c r="H228" s="185" t="str">
        <f t="shared" ref="H228:I245" si="181">IF(AND($D228=1,K161&gt;0),CONCATENATE(K$160,"; "),"")</f>
        <v/>
      </c>
      <c r="I228" s="185" t="str">
        <f t="shared" si="181"/>
        <v/>
      </c>
      <c r="J228" s="185"/>
      <c r="K228" s="185" t="str">
        <f t="shared" ref="K228:K245" si="182">IF(AND($D228=1,M161&gt;0),CONCATENATE(M$160,"; "),"")</f>
        <v/>
      </c>
      <c r="L228" s="229" t="str">
        <f t="shared" ref="L228:L245" si="183">IF(D228=1,CONCATENATE("Vintage Rifle Gun ",$C206," also used in ",CONCATENATE(E228,F228,H228,I228,K228)),"")</f>
        <v/>
      </c>
      <c r="AF228" s="27"/>
      <c r="AQ228" s="1"/>
      <c r="AR228" s="1"/>
      <c r="AS228" s="1"/>
      <c r="AT228" s="1"/>
      <c r="BG228" s="1"/>
      <c r="BH228" s="1"/>
    </row>
    <row r="229" spans="3:60" hidden="1" x14ac:dyDescent="0.2">
      <c r="C229" s="224">
        <v>2</v>
      </c>
      <c r="D229" s="228" t="str">
        <f t="shared" si="178"/>
        <v/>
      </c>
      <c r="E229" s="185" t="str">
        <f t="shared" si="179"/>
        <v/>
      </c>
      <c r="F229" s="185" t="str">
        <f t="shared" si="180"/>
        <v/>
      </c>
      <c r="G229" s="185"/>
      <c r="H229" s="185" t="str">
        <f t="shared" si="181"/>
        <v/>
      </c>
      <c r="I229" s="185" t="str">
        <f t="shared" si="181"/>
        <v/>
      </c>
      <c r="J229" s="185"/>
      <c r="K229" s="185" t="str">
        <f t="shared" si="182"/>
        <v/>
      </c>
      <c r="L229" s="229" t="str">
        <f t="shared" si="183"/>
        <v/>
      </c>
      <c r="AF229" s="27"/>
      <c r="AQ229" s="1"/>
      <c r="AR229" s="1"/>
      <c r="AS229" s="1"/>
      <c r="AT229" s="1"/>
      <c r="BG229" s="1"/>
      <c r="BH229" s="1"/>
    </row>
    <row r="230" spans="3:60" hidden="1" x14ac:dyDescent="0.2">
      <c r="C230" s="224">
        <v>3</v>
      </c>
      <c r="D230" s="228" t="str">
        <f t="shared" si="178"/>
        <v/>
      </c>
      <c r="E230" s="185" t="str">
        <f t="shared" si="179"/>
        <v/>
      </c>
      <c r="F230" s="185" t="str">
        <f t="shared" si="180"/>
        <v/>
      </c>
      <c r="G230" s="185"/>
      <c r="H230" s="185" t="str">
        <f t="shared" si="181"/>
        <v/>
      </c>
      <c r="I230" s="185" t="str">
        <f t="shared" si="181"/>
        <v/>
      </c>
      <c r="J230" s="185"/>
      <c r="K230" s="185" t="str">
        <f t="shared" si="182"/>
        <v/>
      </c>
      <c r="L230" s="229" t="str">
        <f t="shared" si="183"/>
        <v/>
      </c>
      <c r="AF230" s="27"/>
      <c r="AQ230" s="1"/>
      <c r="AR230" s="1"/>
      <c r="AS230" s="1"/>
      <c r="AT230" s="1"/>
      <c r="BG230" s="1"/>
      <c r="BH230" s="1"/>
    </row>
    <row r="231" spans="3:60" hidden="1" x14ac:dyDescent="0.2">
      <c r="C231" s="224">
        <v>4</v>
      </c>
      <c r="D231" s="228" t="str">
        <f t="shared" si="178"/>
        <v/>
      </c>
      <c r="E231" s="185" t="str">
        <f t="shared" si="179"/>
        <v/>
      </c>
      <c r="F231" s="185" t="str">
        <f t="shared" si="180"/>
        <v/>
      </c>
      <c r="G231" s="185"/>
      <c r="H231" s="185" t="str">
        <f t="shared" si="181"/>
        <v/>
      </c>
      <c r="I231" s="185" t="str">
        <f t="shared" si="181"/>
        <v/>
      </c>
      <c r="J231" s="185"/>
      <c r="K231" s="185" t="str">
        <f t="shared" si="182"/>
        <v/>
      </c>
      <c r="L231" s="229" t="str">
        <f t="shared" si="183"/>
        <v/>
      </c>
      <c r="AF231" s="27"/>
      <c r="AQ231" s="1"/>
      <c r="AR231" s="1"/>
      <c r="AS231" s="1"/>
      <c r="AT231" s="1"/>
      <c r="BG231" s="1"/>
      <c r="BH231" s="1"/>
    </row>
    <row r="232" spans="3:60" hidden="1" x14ac:dyDescent="0.2">
      <c r="C232" s="224">
        <v>5</v>
      </c>
      <c r="D232" s="228" t="str">
        <f t="shared" si="178"/>
        <v/>
      </c>
      <c r="E232" s="185" t="str">
        <f t="shared" si="179"/>
        <v/>
      </c>
      <c r="F232" s="185" t="str">
        <f t="shared" si="180"/>
        <v/>
      </c>
      <c r="G232" s="185"/>
      <c r="H232" s="185" t="str">
        <f t="shared" si="181"/>
        <v/>
      </c>
      <c r="I232" s="185" t="str">
        <f t="shared" si="181"/>
        <v/>
      </c>
      <c r="J232" s="185"/>
      <c r="K232" s="185" t="str">
        <f t="shared" si="182"/>
        <v/>
      </c>
      <c r="L232" s="229" t="str">
        <f t="shared" si="183"/>
        <v/>
      </c>
      <c r="AF232" s="27"/>
      <c r="AQ232" s="1"/>
      <c r="AR232" s="1"/>
      <c r="AS232" s="1"/>
      <c r="AT232" s="1"/>
      <c r="BG232" s="1"/>
      <c r="BH232" s="1"/>
    </row>
    <row r="233" spans="3:60" hidden="1" x14ac:dyDescent="0.2">
      <c r="C233" s="224">
        <v>6</v>
      </c>
      <c r="D233" s="228" t="str">
        <f t="shared" si="178"/>
        <v/>
      </c>
      <c r="E233" s="185" t="str">
        <f t="shared" si="179"/>
        <v/>
      </c>
      <c r="F233" s="185" t="str">
        <f t="shared" si="180"/>
        <v/>
      </c>
      <c r="G233" s="185"/>
      <c r="H233" s="185" t="str">
        <f t="shared" si="181"/>
        <v/>
      </c>
      <c r="I233" s="185" t="str">
        <f t="shared" si="181"/>
        <v/>
      </c>
      <c r="J233" s="185"/>
      <c r="K233" s="185" t="str">
        <f t="shared" si="182"/>
        <v/>
      </c>
      <c r="L233" s="229" t="str">
        <f t="shared" si="183"/>
        <v/>
      </c>
      <c r="AF233" s="27"/>
      <c r="AQ233" s="1"/>
      <c r="AR233" s="1"/>
      <c r="AS233" s="1"/>
      <c r="AT233" s="1"/>
      <c r="BG233" s="1"/>
      <c r="BH233" s="1"/>
    </row>
    <row r="234" spans="3:60" hidden="1" x14ac:dyDescent="0.2">
      <c r="C234" s="224">
        <v>7</v>
      </c>
      <c r="D234" s="228" t="str">
        <f t="shared" si="178"/>
        <v/>
      </c>
      <c r="E234" s="185" t="str">
        <f t="shared" si="179"/>
        <v/>
      </c>
      <c r="F234" s="185" t="str">
        <f t="shared" si="180"/>
        <v/>
      </c>
      <c r="G234" s="185"/>
      <c r="H234" s="185" t="str">
        <f t="shared" si="181"/>
        <v/>
      </c>
      <c r="I234" s="185" t="str">
        <f t="shared" si="181"/>
        <v/>
      </c>
      <c r="J234" s="185"/>
      <c r="K234" s="185" t="str">
        <f t="shared" si="182"/>
        <v/>
      </c>
      <c r="L234" s="229" t="str">
        <f t="shared" si="183"/>
        <v/>
      </c>
      <c r="AF234" s="27"/>
      <c r="AQ234" s="1"/>
      <c r="AR234" s="1"/>
      <c r="AS234" s="1"/>
      <c r="AT234" s="1"/>
      <c r="BG234" s="1"/>
      <c r="BH234" s="1"/>
    </row>
    <row r="235" spans="3:60" hidden="1" x14ac:dyDescent="0.2">
      <c r="C235" s="224">
        <v>8</v>
      </c>
      <c r="D235" s="228" t="str">
        <f t="shared" si="178"/>
        <v/>
      </c>
      <c r="E235" s="185" t="str">
        <f t="shared" si="179"/>
        <v/>
      </c>
      <c r="F235" s="185" t="str">
        <f t="shared" si="180"/>
        <v/>
      </c>
      <c r="G235" s="185"/>
      <c r="H235" s="185" t="str">
        <f t="shared" si="181"/>
        <v/>
      </c>
      <c r="I235" s="185" t="str">
        <f t="shared" si="181"/>
        <v/>
      </c>
      <c r="J235" s="185"/>
      <c r="K235" s="185" t="str">
        <f t="shared" si="182"/>
        <v/>
      </c>
      <c r="L235" s="229" t="str">
        <f t="shared" si="183"/>
        <v/>
      </c>
      <c r="AF235" s="27"/>
      <c r="AQ235" s="1"/>
      <c r="AR235" s="1"/>
      <c r="AS235" s="1"/>
      <c r="AT235" s="1"/>
      <c r="BG235" s="1"/>
      <c r="BH235" s="1"/>
    </row>
    <row r="236" spans="3:60" hidden="1" x14ac:dyDescent="0.2">
      <c r="C236" s="224">
        <v>9</v>
      </c>
      <c r="D236" s="228" t="str">
        <f t="shared" si="178"/>
        <v/>
      </c>
      <c r="E236" s="185" t="str">
        <f t="shared" si="179"/>
        <v/>
      </c>
      <c r="F236" s="185" t="str">
        <f t="shared" si="180"/>
        <v/>
      </c>
      <c r="G236" s="185"/>
      <c r="H236" s="185" t="str">
        <f t="shared" si="181"/>
        <v/>
      </c>
      <c r="I236" s="185" t="str">
        <f t="shared" si="181"/>
        <v/>
      </c>
      <c r="J236" s="185"/>
      <c r="K236" s="185" t="str">
        <f t="shared" si="182"/>
        <v/>
      </c>
      <c r="L236" s="229" t="str">
        <f t="shared" si="183"/>
        <v/>
      </c>
      <c r="AF236" s="27"/>
      <c r="AQ236" s="1"/>
      <c r="AR236" s="1"/>
      <c r="AS236" s="1"/>
      <c r="AT236" s="1"/>
      <c r="BG236" s="1"/>
      <c r="BH236" s="1"/>
    </row>
    <row r="237" spans="3:60" hidden="1" x14ac:dyDescent="0.2">
      <c r="C237" s="224">
        <v>10</v>
      </c>
      <c r="D237" s="228" t="str">
        <f t="shared" si="178"/>
        <v/>
      </c>
      <c r="E237" s="185" t="str">
        <f t="shared" si="179"/>
        <v/>
      </c>
      <c r="F237" s="185" t="str">
        <f t="shared" si="180"/>
        <v/>
      </c>
      <c r="G237" s="185"/>
      <c r="H237" s="185" t="str">
        <f t="shared" si="181"/>
        <v/>
      </c>
      <c r="I237" s="185" t="str">
        <f t="shared" si="181"/>
        <v/>
      </c>
      <c r="J237" s="185"/>
      <c r="K237" s="185" t="str">
        <f t="shared" si="182"/>
        <v/>
      </c>
      <c r="L237" s="229" t="str">
        <f t="shared" si="183"/>
        <v/>
      </c>
      <c r="AF237" s="27"/>
      <c r="AQ237" s="1"/>
      <c r="AR237" s="1"/>
      <c r="AS237" s="1"/>
      <c r="AT237" s="1"/>
      <c r="BG237" s="1"/>
      <c r="BH237" s="1"/>
    </row>
    <row r="238" spans="3:60" hidden="1" x14ac:dyDescent="0.2">
      <c r="C238" s="224">
        <v>11</v>
      </c>
      <c r="D238" s="228" t="str">
        <f t="shared" si="178"/>
        <v/>
      </c>
      <c r="E238" s="185" t="str">
        <f t="shared" si="179"/>
        <v/>
      </c>
      <c r="F238" s="185" t="str">
        <f t="shared" si="180"/>
        <v/>
      </c>
      <c r="G238" s="185"/>
      <c r="H238" s="185" t="str">
        <f t="shared" si="181"/>
        <v/>
      </c>
      <c r="I238" s="185" t="str">
        <f t="shared" si="181"/>
        <v/>
      </c>
      <c r="J238" s="185"/>
      <c r="K238" s="185" t="str">
        <f t="shared" si="182"/>
        <v/>
      </c>
      <c r="L238" s="229" t="str">
        <f t="shared" si="183"/>
        <v/>
      </c>
      <c r="AF238" s="27"/>
      <c r="AQ238" s="1"/>
      <c r="AR238" s="1"/>
      <c r="AS238" s="1"/>
      <c r="AT238" s="1"/>
      <c r="BG238" s="1"/>
      <c r="BH238" s="1"/>
    </row>
    <row r="239" spans="3:60" hidden="1" x14ac:dyDescent="0.2">
      <c r="C239" s="224">
        <v>12</v>
      </c>
      <c r="D239" s="228" t="str">
        <f t="shared" si="178"/>
        <v/>
      </c>
      <c r="E239" s="185" t="str">
        <f t="shared" si="179"/>
        <v/>
      </c>
      <c r="F239" s="185" t="str">
        <f t="shared" si="180"/>
        <v/>
      </c>
      <c r="G239" s="185"/>
      <c r="H239" s="185" t="str">
        <f t="shared" si="181"/>
        <v/>
      </c>
      <c r="I239" s="185" t="str">
        <f t="shared" si="181"/>
        <v/>
      </c>
      <c r="J239" s="185"/>
      <c r="K239" s="185" t="str">
        <f t="shared" si="182"/>
        <v/>
      </c>
      <c r="L239" s="229" t="str">
        <f t="shared" si="183"/>
        <v/>
      </c>
      <c r="AF239" s="27"/>
      <c r="AQ239" s="1"/>
      <c r="AR239" s="1"/>
      <c r="AS239" s="1"/>
      <c r="AT239" s="1"/>
      <c r="BG239" s="1"/>
      <c r="BH239" s="1"/>
    </row>
    <row r="240" spans="3:60" hidden="1" x14ac:dyDescent="0.2">
      <c r="C240" s="224">
        <v>13</v>
      </c>
      <c r="D240" s="228" t="str">
        <f t="shared" si="178"/>
        <v/>
      </c>
      <c r="E240" s="185" t="str">
        <f t="shared" si="179"/>
        <v/>
      </c>
      <c r="F240" s="185" t="str">
        <f t="shared" si="180"/>
        <v/>
      </c>
      <c r="G240" s="185"/>
      <c r="H240" s="185" t="str">
        <f t="shared" si="181"/>
        <v/>
      </c>
      <c r="I240" s="185" t="str">
        <f t="shared" si="181"/>
        <v/>
      </c>
      <c r="J240" s="185"/>
      <c r="K240" s="185" t="str">
        <f t="shared" si="182"/>
        <v/>
      </c>
      <c r="L240" s="229" t="str">
        <f t="shared" si="183"/>
        <v/>
      </c>
      <c r="AF240" s="27"/>
      <c r="AQ240" s="1"/>
      <c r="AR240" s="1"/>
      <c r="AS240" s="1"/>
      <c r="AT240" s="1"/>
      <c r="BG240" s="1"/>
      <c r="BH240" s="1"/>
    </row>
    <row r="241" spans="1:60" hidden="1" x14ac:dyDescent="0.2">
      <c r="C241" s="224">
        <v>14</v>
      </c>
      <c r="D241" s="228" t="str">
        <f t="shared" si="178"/>
        <v/>
      </c>
      <c r="E241" s="185" t="str">
        <f t="shared" si="179"/>
        <v/>
      </c>
      <c r="F241" s="185" t="str">
        <f t="shared" si="180"/>
        <v/>
      </c>
      <c r="G241" s="185"/>
      <c r="H241" s="185" t="str">
        <f t="shared" si="181"/>
        <v/>
      </c>
      <c r="I241" s="185" t="str">
        <f t="shared" si="181"/>
        <v/>
      </c>
      <c r="J241" s="185"/>
      <c r="K241" s="185" t="str">
        <f t="shared" si="182"/>
        <v/>
      </c>
      <c r="L241" s="229" t="str">
        <f t="shared" si="183"/>
        <v/>
      </c>
      <c r="AF241" s="27"/>
      <c r="AQ241" s="1"/>
      <c r="AR241" s="1"/>
      <c r="AS241" s="1"/>
      <c r="AT241" s="1"/>
      <c r="BG241" s="1"/>
      <c r="BH241" s="1"/>
    </row>
    <row r="242" spans="1:60" hidden="1" x14ac:dyDescent="0.2">
      <c r="A242" s="252"/>
      <c r="C242" s="224">
        <v>15</v>
      </c>
      <c r="D242" s="228" t="str">
        <f t="shared" si="178"/>
        <v/>
      </c>
      <c r="E242" s="185" t="str">
        <f t="shared" si="179"/>
        <v/>
      </c>
      <c r="F242" s="185" t="str">
        <f t="shared" si="180"/>
        <v/>
      </c>
      <c r="G242" s="185"/>
      <c r="H242" s="185" t="str">
        <f t="shared" si="181"/>
        <v/>
      </c>
      <c r="I242" s="185" t="str">
        <f t="shared" si="181"/>
        <v/>
      </c>
      <c r="J242" s="185"/>
      <c r="K242" s="185" t="str">
        <f t="shared" si="182"/>
        <v/>
      </c>
      <c r="L242" s="229" t="str">
        <f t="shared" si="183"/>
        <v/>
      </c>
      <c r="AF242" s="27"/>
      <c r="AQ242" s="1"/>
      <c r="AR242" s="1"/>
      <c r="AS242" s="1"/>
      <c r="AT242" s="1"/>
      <c r="BG242" s="1"/>
      <c r="BH242" s="1"/>
    </row>
    <row r="243" spans="1:60" hidden="1" x14ac:dyDescent="0.2">
      <c r="A243" s="252"/>
      <c r="C243" s="224">
        <v>16</v>
      </c>
      <c r="D243" s="228" t="str">
        <f t="shared" si="178"/>
        <v/>
      </c>
      <c r="E243" s="185" t="str">
        <f t="shared" si="179"/>
        <v/>
      </c>
      <c r="F243" s="185" t="str">
        <f t="shared" si="180"/>
        <v/>
      </c>
      <c r="G243" s="185"/>
      <c r="H243" s="185" t="str">
        <f t="shared" si="181"/>
        <v/>
      </c>
      <c r="I243" s="185" t="str">
        <f t="shared" si="181"/>
        <v/>
      </c>
      <c r="J243" s="185"/>
      <c r="K243" s="185" t="str">
        <f t="shared" si="182"/>
        <v/>
      </c>
      <c r="L243" s="229" t="str">
        <f t="shared" si="183"/>
        <v/>
      </c>
      <c r="AF243" s="27"/>
      <c r="AQ243" s="1"/>
      <c r="AR243" s="1"/>
      <c r="AS243" s="1"/>
      <c r="AT243" s="1"/>
      <c r="BG243" s="1"/>
      <c r="BH243" s="1"/>
    </row>
    <row r="244" spans="1:60" hidden="1" x14ac:dyDescent="0.2">
      <c r="A244" s="252"/>
      <c r="C244" s="224">
        <v>17</v>
      </c>
      <c r="D244" s="228" t="str">
        <f t="shared" si="178"/>
        <v/>
      </c>
      <c r="E244" s="185" t="str">
        <f t="shared" si="179"/>
        <v/>
      </c>
      <c r="F244" s="185" t="str">
        <f t="shared" si="180"/>
        <v/>
      </c>
      <c r="G244" s="185"/>
      <c r="H244" s="185" t="str">
        <f t="shared" si="181"/>
        <v/>
      </c>
      <c r="I244" s="185" t="str">
        <f t="shared" si="181"/>
        <v/>
      </c>
      <c r="J244" s="185"/>
      <c r="K244" s="185" t="str">
        <f t="shared" si="182"/>
        <v/>
      </c>
      <c r="L244" s="229" t="str">
        <f t="shared" si="183"/>
        <v/>
      </c>
      <c r="AF244" s="27"/>
      <c r="AQ244" s="1"/>
      <c r="AR244" s="1"/>
      <c r="AS244" s="1"/>
      <c r="AT244" s="1"/>
      <c r="BG244" s="1"/>
      <c r="BH244" s="1"/>
    </row>
    <row r="245" spans="1:60" ht="13.5" hidden="1" thickBot="1" x14ac:dyDescent="0.25">
      <c r="A245" s="252"/>
      <c r="C245" s="224">
        <v>18</v>
      </c>
      <c r="D245" s="228" t="str">
        <f t="shared" si="178"/>
        <v/>
      </c>
      <c r="E245" s="185" t="str">
        <f t="shared" si="179"/>
        <v/>
      </c>
      <c r="F245" s="185" t="str">
        <f t="shared" si="180"/>
        <v/>
      </c>
      <c r="G245" s="185"/>
      <c r="H245" s="185" t="str">
        <f t="shared" si="181"/>
        <v/>
      </c>
      <c r="I245" s="185" t="str">
        <f t="shared" si="181"/>
        <v/>
      </c>
      <c r="J245" s="185"/>
      <c r="K245" s="185" t="str">
        <f t="shared" si="182"/>
        <v/>
      </c>
      <c r="L245" s="229" t="str">
        <f t="shared" si="183"/>
        <v/>
      </c>
      <c r="AF245" s="27"/>
      <c r="AQ245" s="1"/>
      <c r="AR245" s="1"/>
      <c r="AS245" s="1"/>
      <c r="AT245" s="1"/>
      <c r="BG245" s="1"/>
      <c r="BH245" s="1"/>
    </row>
    <row r="246" spans="1:60" hidden="1" x14ac:dyDescent="0.2">
      <c r="A246" s="252"/>
      <c r="C246" s="180"/>
      <c r="D246" s="230">
        <f>SUM(D228:D245)</f>
        <v>0</v>
      </c>
      <c r="E246" s="181"/>
      <c r="F246" s="181"/>
      <c r="G246" s="181"/>
      <c r="H246" s="181"/>
      <c r="I246" s="181"/>
      <c r="J246" s="181"/>
      <c r="K246" s="181"/>
      <c r="L246" s="231" t="str">
        <f>CONCATENATE(L228,L229,L230,L231,L232,L233,L234,L235,L236,L237,L238,L239,L240,L241,L242,L243,L244,L245,)</f>
        <v/>
      </c>
      <c r="AF246" s="27"/>
      <c r="AQ246" s="1"/>
      <c r="AR246" s="1"/>
      <c r="AS246" s="1"/>
      <c r="AT246" s="1"/>
      <c r="BG246" s="1"/>
      <c r="BH246" s="1"/>
    </row>
    <row r="247" spans="1:60" hidden="1" x14ac:dyDescent="0.2">
      <c r="A247" s="252"/>
      <c r="AF247" s="27"/>
      <c r="AQ247" s="1"/>
      <c r="AR247" s="1"/>
      <c r="AS247" s="1"/>
      <c r="AT247" s="1"/>
      <c r="BG247" s="1"/>
      <c r="BH247" s="1"/>
    </row>
  </sheetData>
  <sheetProtection password="C858" sheet="1" objects="1" scenarios="1"/>
  <protectedRanges>
    <protectedRange sqref="C17:K43" name="Entrant Data lefthand"/>
    <protectedRange sqref="M17:Z43" name="Entrant data righthand"/>
  </protectedRanges>
  <mergeCells count="31">
    <mergeCell ref="K3:R3"/>
    <mergeCell ref="K4:R4"/>
    <mergeCell ref="K6:R6"/>
    <mergeCell ref="E8:W8"/>
    <mergeCell ref="C10:D10"/>
    <mergeCell ref="E10:F10"/>
    <mergeCell ref="J10:M10"/>
    <mergeCell ref="N10:O10"/>
    <mergeCell ref="P10:T10"/>
    <mergeCell ref="C11:D11"/>
    <mergeCell ref="N11:Z11"/>
    <mergeCell ref="C12:D12"/>
    <mergeCell ref="N12:V12"/>
    <mergeCell ref="W12:Z12"/>
    <mergeCell ref="C13:D13"/>
    <mergeCell ref="Q13:R13"/>
    <mergeCell ref="T13:V13"/>
    <mergeCell ref="W13:X14"/>
    <mergeCell ref="Y13:Y14"/>
    <mergeCell ref="C14:D14"/>
    <mergeCell ref="Q14:R14"/>
    <mergeCell ref="T14:V14"/>
    <mergeCell ref="T16:V16"/>
    <mergeCell ref="W16:X16"/>
    <mergeCell ref="I85:P85"/>
    <mergeCell ref="L13:L15"/>
    <mergeCell ref="W10:Z10"/>
    <mergeCell ref="Z13:Z14"/>
    <mergeCell ref="U10:V10"/>
    <mergeCell ref="X44:Z44"/>
    <mergeCell ref="G10:I10"/>
  </mergeCells>
  <conditionalFormatting sqref="K44">
    <cfRule type="cellIs" dxfId="14" priority="5" stopIfTrue="1" operator="greaterThan">
      <formula>0</formula>
    </cfRule>
  </conditionalFormatting>
  <conditionalFormatting sqref="H129:H155">
    <cfRule type="cellIs" dxfId="13" priority="4" stopIfTrue="1" operator="greaterThan">
      <formula>3</formula>
    </cfRule>
  </conditionalFormatting>
  <conditionalFormatting sqref="K129:K155 K157">
    <cfRule type="cellIs" dxfId="12" priority="3" stopIfTrue="1" operator="greaterThan">
      <formula>2</formula>
    </cfRule>
  </conditionalFormatting>
  <conditionalFormatting sqref="C45">
    <cfRule type="cellIs" dxfId="11" priority="2" stopIfTrue="1" operator="greaterThan">
      <formula>0</formula>
    </cfRule>
  </conditionalFormatting>
  <conditionalFormatting sqref="D45">
    <cfRule type="notContainsBlanks" dxfId="10" priority="6" stopIfTrue="1">
      <formula>LEN(TRIM(D45))&gt;0</formula>
    </cfRule>
  </conditionalFormatting>
  <conditionalFormatting sqref="AB17:AB43">
    <cfRule type="notContainsBlanks" dxfId="9" priority="1" stopIfTrue="1">
      <formula>LEN(TRIM(AB17))&gt;0</formula>
    </cfRule>
  </conditionalFormatting>
  <dataValidations xWindow="133" yWindow="606" count="24">
    <dataValidation type="textLength" allowBlank="1" showInputMessage="1" showErrorMessage="1" error="Length must be between 2 &amp; 18 Characters" promptTitle="First Name" prompt="Length between 2 &amp; 18 Characters" sqref="C17:C43">
      <formula1>2</formula1>
      <formula2>18</formula2>
    </dataValidation>
    <dataValidation type="whole" allowBlank="1" showInputMessage="1" showErrorMessage="1" errorTitle="Invalid Entry" error="Scout Association Member No._x000a_This is an integer of not more than 8 digits._x000a_You may ignore leading zeroes" promptTitle="Scout Association Member No." prompt="Required for all competitors aged 18 &amp; over on the Saturday of the competition._x000a_You may ignore leading zeroes" sqref="H17:H43">
      <formula1>1</formula1>
      <formula2>99999999</formula2>
    </dataValidation>
    <dataValidation type="date" allowBlank="1" showInputMessage="1" showErrorMessage="1" errorTitle="Date out of range" error="Minimum age for entry is 10 yrs on the Saturday of the competition." promptTitle="Date of Birth" prompt="Enter format dd/mm/yyyy. 01/01/1900 will be assumed if age suppressed (Permitted for those over 25 only - see rule 20 for the consequence of this)." sqref="E17:E43">
      <formula1>3654</formula1>
      <formula2>Youngest_Entrant_DoB</formula2>
    </dataValidation>
    <dataValidation type="list" allowBlank="1" showInputMessage="1" showErrorMessage="1" errorTitle="Invalid Team" error="Select from dropdown box" promptTitle="Connaught Team member?" prompt="Select from Drop-down box._x000a_Three entrants per team._x000a_Junior Teams all aged under 14_x000a_Senior Teams may include not more than one member aged 25 or over._x000a_" sqref="K17:K43">
      <formula1>$AC$14:$AC$24</formula1>
    </dataValidation>
    <dataValidation type="list" showInputMessage="1" showErrorMessage="1" errorTitle="Invalid entry" error="Enter X for a Leader or Range Officer NOT entering the Knockout_x000a_or_x000a_Enter N  for a Leader or Range Officer NOT entering Any Main Event Class_x000a_or Leave blank for normal Main Event entry" promptTitle="No Knockout or Main Event?" prompt="Enter X for a Leader or Range Officer NOT entering the Knockout_x000a_Enter N  for a Leader or Range Officer NOT entering Any Main Event Class." sqref="M17">
      <formula1>$AC$27:$AC$28</formula1>
    </dataValidation>
    <dataValidation type="list" allowBlank="1" showInputMessage="1" showErrorMessage="1" errorTitle="Invalid entry" error="Enter X for a Leader or Range Officer NOT entering the Knockout_x000a_or_x000a_Enter N  for a Leader or Range Officer NOT entering Any Main Event Class_x000a_or Leave blank for normal Main Event entry" promptTitle="No Knockout or Main Event?" prompt="Enter X for a Leader or Range Officer NOT entering the Knockout_x000a_Enter N  for a Leader or Range Officer NOT entering Any Main Event Class." sqref="M18:M43">
      <formula1>$AC$27:$AC$28</formula1>
    </dataValidation>
    <dataValidation type="textLength" operator="lessThanOrEqual" allowBlank="1" showInputMessage="1" showErrorMessage="1" errorTitle="Invalid Entry" error="Limit is 20 Characters" promptTitle="3-P Team Name" prompt="Maximum length is 20 characters." sqref="V17:V43">
      <formula1>20</formula1>
    </dataValidation>
    <dataValidation type="textLength" allowBlank="1" showInputMessage="1" showErrorMessage="1" errorTitle="Surname" error="Length must be between 2 and 36 characters" promptTitle="Surname" prompt="Length between 2 and 36 characters" sqref="D17:D43">
      <formula1>2</formula1>
      <formula2>36</formula2>
    </dataValidation>
    <dataValidation type="textLength" allowBlank="1" showInputMessage="1" showErrorMessage="1" errorTitle="Invalid Entry" prompt="Include all qualified Range Officers on &quot;Entrants&quot; sheet_x000a_" sqref="L17:L43">
      <formula1>0</formula1>
      <formula2>0</formula2>
    </dataValidation>
    <dataValidation type="list" allowBlank="1" showInputMessage="1" showErrorMessage="1" errorTitle="Invalid Entry" error="Select from dropdown box or leave blank" promptTitle="Entering Advanced Field Target?" prompt="Select from Dropdown box._x000a__x000a_Select Y if class is entered and gun is NOT being shared._x000a__x000a_Select YnShare to identify the gun to be used if shared._x000a__x000a_Refer to Rules 21 &amp; 25 about sharing guns and labelling._x000a_" sqref="S17:S43">
      <formula1>$AC$30:$AC$48</formula1>
    </dataValidation>
    <dataValidation type="list" allowBlank="1" showInputMessage="1" showErrorMessage="1" errorTitle="Invalid Entry" error="Select from dropdown box or leave blank" promptTitle="Entering 10m Sporter?" prompt="Select from Dropdown box._x000a__x000a_Select Y if class is entered and gun is NOT being shared._x000a__x000a_Select YnShare to identify the gun to be used if shared._x000a__x000a_Refer to Rules 21 &amp; 25 about sharing guns and labelling._x000a_" sqref="R17:R43">
      <formula1>$AC$30:$AC$48</formula1>
    </dataValidation>
    <dataValidation type="list" allowBlank="1" showInputMessage="1" showErrorMessage="1" errorTitle="Invalid Entry" error="Select from dropdown box or leave blank" promptTitle="Entering Vintage Rifle?" prompt="Select from Dropdown box._x000a__x000a_Select Y if class is entered and gun is NOT being shared._x000a__x000a_Select YnShare to identify the gun to be used if shared._x000a__x000a_Refer to Rules 21 &amp; 25 about sharing guns and labelling." sqref="P17:P43">
      <formula1>$AC$30:$AC$48</formula1>
    </dataValidation>
    <dataValidation type="list" allowBlank="1" showInputMessage="1" showErrorMessage="1" errorTitle="Invalid Entry" error="Select from dropdown box or leave blank" promptTitle="Entering Own Pistol?" prompt="Select from Dropdown box._x000a__x000a_Select Y if class is entered and gun is NOT being shared._x000a__x000a_Select YnShare to identify the gun to be used if shared._x000a__x000a_Refer to Rules 21 &amp; 25 about sharing guns and labelling." sqref="O17:O43">
      <formula1>$AC$30:$AC$48</formula1>
    </dataValidation>
    <dataValidation type="list" allowBlank="1" showInputMessage="1" showErrorMessage="1" errorTitle="Invalid Entry" error="Select from dropdown box or leave blank" promptTitle="Entering 6yd Spring Gun?" prompt="Select from Dropdown box._x000a__x000a_Select Y if class is entered and gun is NOT being shared._x000a__x000a_Select YnShare to identify the gun to be used if shared._x000a__x000a_Refer to Rules 21 &amp; 25 about sharing guns and labelling." sqref="N17:N43">
      <formula1>$AC$30:$AC$48</formula1>
    </dataValidation>
    <dataValidation type="list" allowBlank="1" showInputMessage="1" showErrorMessage="1" errorTitle="Invalid Entry" error="Select from dropdown box or leave blank" promptTitle="Entering 10m Open?" prompt="Select from Dropdown box._x000a__x000a_Select Y if class is entered and gun is NOT being shared._x000a__x000a_Select YnShare to identify the gun to be used if shared._x000a__x000a_Refer to Rules 21 &amp; 25 about sharing guns and labelling._x000a_" sqref="Q17:Q43">
      <formula1>$AC$30:$AC$48</formula1>
    </dataValidation>
    <dataValidation type="list" allowBlank="1" showInputMessage="1" showErrorMessage="1" errorTitle="Invalid Entry" error="Select from dropdown box or leave blank" promptTitle="Sharing a Rifle for 3-P?" prompt="Select from Dropdown box._x000a__x000a_Select YnShare to identify the gun to be used if shared._x000a_Leave blank if user has sole use of rifle or if 3-P not entered._x000a__x000a_Refer to Rules 21_x000a_ &amp; 25 about sharing guns and labelling." sqref="U17:U43">
      <formula1>$AC$31:$AC$48</formula1>
    </dataValidation>
    <dataValidation type="list" allowBlank="1" showInputMessage="1" showErrorMessage="1" errorTitle="Invalid entry" error="Enter Class (A, B or X) or leave blank" promptTitle="Entering Small-bore?" prompt="Minimum Age 12_x000a_Enter Class (A, B or X) if entering or leave blank._x000a__x000a_Reminder: Over 18s enter Class B on an &quot;Honours Only&quot; basis._x000a_" sqref="Z17:Z43">
      <formula1>$AC$51:$AC$53</formula1>
    </dataValidation>
    <dataValidation type="list" allowBlank="1" showInputMessage="1" showErrorMessage="1" errorTitle="Invalid data" error="Enter Class (A or B) or leave blank" promptTitle="Entering Fullbore?" prompt="Minimum Age 14_x000a_Enter Class (A or B) if entering or leave blank._x000a__x000a_Reminder: Over 25s enter Class B on an &quot;Honours Only&quot; basis." sqref="Y17:Y43">
      <formula1>$AC$51:$AC$52</formula1>
    </dataValidation>
    <dataValidation type="list" allowBlank="1" showInputMessage="1" showErrorMessage="1" errorTitle="Invalid Entry" error="Select from dropdown box or leave blank" promptTitle="Entering 10m Three-Position?" prompt="Select Class (Open or Sporter) from Dropdown box._x000a__x000a_Use the next column to indicate if rifle is to be shared._x000a_" sqref="T17:T43">
      <formula1>$AC$49:$AC$50</formula1>
    </dataValidation>
    <dataValidation type="list" operator="lessThanOrEqual" allowBlank="1" showInputMessage="1" showErrorMessage="1" errorTitle="Target Sprint" error="Pick Y or YnShare from Drop-down list or leave blank" promptTitle="ISSF Target Sprint Class A" prompt="Enter Y if entering ISSF Target Sprint Class A with a provided rifle or an Own Rifle that is NOT being shared._x000a__x000a_Enter YnShare if using an &quot;Own Rifle&quot; shared with other people. _x000a__x000a_Otherwise leave blank" sqref="W17:W43">
      <formula1>$AC$30:$AC$48</formula1>
    </dataValidation>
    <dataValidation type="list" allowBlank="1" showInputMessage="1" showErrorMessage="1" errorTitle="Target Sprint" error="Pick Y or YnShare from Drop-down list or leave blank_x000a_" promptTitle="Target Sprint Class B" prompt="Enter Y or YnShare as applicable if entering Target Sprint Class B. _x000a__x000a_Otherwise leave blank_x000a__x000a_Reminder; National Scout Rifle Squad members may enter the Target Sprint Class B only if also competing in Target Sprint Class A._x000a_" sqref="X17:X43">
      <formula1>$AC$30:$AC$48</formula1>
    </dataValidation>
    <dataValidation type="list" allowBlank="1" showDropDown="1" showInputMessage="1" showErrorMessage="1" errorTitle="Invalid character." error="Mark F for female entrant or leave blank" promptTitle="Mark F for female entrant" prompt="Leave blank for male entrants" sqref="F17:F43">
      <formula1>$AC$12:$AC$13</formula1>
    </dataValidation>
    <dataValidation type="list" allowBlank="1" showInputMessage="1" showErrorMessage="1" errorTitle="Invalid" error="Enter H for Honours Only - otherwise leave blank._x000a_" promptTitle="Honours Only?" prompt="Enter &quot;H&quot; if Honours Only in all classes (e.g. a Occasional Helper who is not a Member or Associate Member of The Scout Association)." sqref="J17:J43">
      <formula1>$AC$10:$AC$11</formula1>
    </dataValidation>
    <dataValidation type="list" allowBlank="1" showDropDown="1" showInputMessage="1" showErrorMessage="1" errorTitle="Invalid character." error="Mark L for Left-handed pistol shooter or leave blank" promptTitle="Mark L if LH Pistol req'd" prompt="Leave blank for Right-handed pistol shooters" sqref="G17:G43">
      <formula1>$AC$8:$AC$9</formula1>
    </dataValidation>
  </dataValidations>
  <pageMargins left="0.7" right="0.7" top="0.75" bottom="0.75" header="0.3" footer="0.3"/>
  <pageSetup paperSize="9" scale="50" orientation="landscape" verticalDpi="0" r:id="rId1"/>
  <drawing r:id="rId2"/>
  <extLst>
    <ext xmlns:x14="http://schemas.microsoft.com/office/spreadsheetml/2009/9/main" uri="{CCE6A557-97BC-4b89-ADB6-D9C93CAAB3DF}">
      <x14:dataValidations xmlns:xm="http://schemas.microsoft.com/office/excel/2006/main" xWindow="133" yWindow="606" count="1">
        <x14:dataValidation type="list" allowBlank="1" showDropDown="1" showInputMessage="1" showErrorMessage="1" errorTitle="Invalid" error="This is not a competitor number from last year's results. Please check http://www.scouts-shoot.org.uk/nsrc/results/2017-26/2018/AllRes18.zip" promptTitle="Competed Last year?" prompt="Enter &quot;Y&quot;, &quot;N&quot; or last year's competitor number if known.">
          <x14:formula1>
            <xm:f>LastYrList!$A:$A</xm:f>
          </x14:formula1>
          <xm:sqref>I17:I43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2"/>
  <sheetViews>
    <sheetView workbookViewId="0">
      <selection activeCell="E8" sqref="E8"/>
    </sheetView>
  </sheetViews>
  <sheetFormatPr defaultRowHeight="12.75" x14ac:dyDescent="0.2"/>
  <cols>
    <col min="1" max="1" width="9.7109375" customWidth="1"/>
    <col min="2" max="2" width="7.85546875" style="1" customWidth="1"/>
    <col min="3" max="3" width="16.28515625" customWidth="1"/>
    <col min="4" max="4" width="13.42578125" customWidth="1"/>
    <col min="5" max="5" width="10.85546875" customWidth="1"/>
    <col min="6" max="7" width="13.5703125" customWidth="1"/>
    <col min="8" max="8" width="15.85546875" customWidth="1"/>
    <col min="10" max="12" width="15.85546875" customWidth="1"/>
    <col min="13" max="13" width="23.5703125" customWidth="1"/>
    <col min="14" max="14" width="20.7109375" customWidth="1"/>
    <col min="15" max="15" width="16.5703125" customWidth="1"/>
    <col min="16" max="16" width="16" customWidth="1"/>
    <col min="17" max="17" width="16.5703125" customWidth="1"/>
    <col min="18" max="18" width="11.140625" customWidth="1"/>
  </cols>
  <sheetData>
    <row r="1" spans="1:19" s="126" customFormat="1" ht="13.5" x14ac:dyDescent="0.25">
      <c r="A1" s="126" t="s">
        <v>156</v>
      </c>
      <c r="B1" s="127" t="s">
        <v>166</v>
      </c>
      <c r="C1" s="126" t="s">
        <v>157</v>
      </c>
      <c r="D1" s="126" t="s">
        <v>153</v>
      </c>
      <c r="E1" s="126" t="s">
        <v>158</v>
      </c>
      <c r="F1" s="126" t="s">
        <v>159</v>
      </c>
      <c r="G1" s="126" t="s">
        <v>173</v>
      </c>
      <c r="H1" s="126" t="s">
        <v>172</v>
      </c>
      <c r="I1" s="126" t="s">
        <v>167</v>
      </c>
      <c r="J1" s="126" t="s">
        <v>174</v>
      </c>
      <c r="K1" s="126" t="s">
        <v>300</v>
      </c>
      <c r="L1" s="126" t="s">
        <v>299</v>
      </c>
      <c r="M1" s="126" t="s">
        <v>298</v>
      </c>
      <c r="N1" s="126" t="s">
        <v>160</v>
      </c>
      <c r="O1" s="126" t="s">
        <v>161</v>
      </c>
      <c r="P1" s="126" t="s">
        <v>162</v>
      </c>
      <c r="Q1" s="126" t="s">
        <v>163</v>
      </c>
      <c r="R1" s="126" t="s">
        <v>164</v>
      </c>
      <c r="S1" s="126" t="s">
        <v>165</v>
      </c>
    </row>
    <row r="2" spans="1:19" x14ac:dyDescent="0.2">
      <c r="A2" s="429">
        <v>1</v>
      </c>
      <c r="B2" s="1">
        <f>Entrants!D10</f>
        <v>0</v>
      </c>
      <c r="C2" s="428">
        <f>Entrants!I10</f>
        <v>0</v>
      </c>
      <c r="D2" s="428">
        <f>Entrants!O10</f>
        <v>0</v>
      </c>
      <c r="E2" s="428">
        <f>Entrants!V10</f>
        <v>0</v>
      </c>
      <c r="F2" s="428">
        <f>Group!C10</f>
        <v>0</v>
      </c>
      <c r="G2" s="428">
        <f>Group!C12</f>
        <v>0</v>
      </c>
      <c r="H2" s="428">
        <f>Group!C13</f>
        <v>0</v>
      </c>
      <c r="I2" s="428">
        <f>Group!D14</f>
        <v>0</v>
      </c>
      <c r="J2" s="428">
        <f>Group!C15</f>
        <v>0</v>
      </c>
      <c r="K2" s="428">
        <f>Group!C16</f>
        <v>0</v>
      </c>
      <c r="L2" s="428">
        <f>Group!F12</f>
        <v>0</v>
      </c>
      <c r="M2" s="428">
        <f>Group!F13</f>
        <v>0</v>
      </c>
      <c r="N2" s="428">
        <f>Group!F16</f>
        <v>0</v>
      </c>
      <c r="O2" s="428">
        <f>Group!C21</f>
        <v>0</v>
      </c>
      <c r="P2" s="428">
        <f>Group!G21</f>
        <v>0</v>
      </c>
      <c r="Q2" s="428">
        <f>Group!F20</f>
        <v>0</v>
      </c>
      <c r="R2" s="428">
        <f>Group!D38</f>
        <v>0</v>
      </c>
      <c r="S2" s="428">
        <f>Group!F38</f>
        <v>0</v>
      </c>
    </row>
  </sheetData>
  <sheetProtection password="C858" sheet="1" objects="1" scenarios="1"/>
  <protectedRanges>
    <protectedRange sqref="A2" name="Team No"/>
  </protectedRanges>
  <phoneticPr fontId="13" type="noConversion"/>
  <pageMargins left="0.25" right="0.25" top="0.75" bottom="0.75" header="0.3" footer="0.3"/>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128"/>
  <sheetViews>
    <sheetView zoomScale="90" zoomScaleNormal="90" workbookViewId="0">
      <selection activeCell="A34" sqref="A34:T60"/>
    </sheetView>
  </sheetViews>
  <sheetFormatPr defaultColWidth="6.7109375" defaultRowHeight="12.75" x14ac:dyDescent="0.2"/>
  <cols>
    <col min="2" max="2" width="6.7109375" customWidth="1"/>
    <col min="3" max="3" width="12.28515625" customWidth="1"/>
    <col min="4" max="4" width="4.7109375" customWidth="1"/>
    <col min="5" max="5" width="7.85546875" customWidth="1"/>
    <col min="6" max="6" width="10" customWidth="1"/>
    <col min="7" max="14" width="6.7109375" customWidth="1"/>
    <col min="15" max="15" width="8.28515625" customWidth="1"/>
    <col min="16" max="17" width="6.7109375" customWidth="1"/>
    <col min="18" max="18" width="8.28515625" customWidth="1"/>
    <col min="19" max="24" width="6.7109375" customWidth="1"/>
    <col min="26" max="36" width="6.7109375" customWidth="1"/>
    <col min="37" max="37" width="7.5703125" customWidth="1"/>
    <col min="38" max="38" width="6.7109375" customWidth="1"/>
    <col min="39" max="39" width="7.28515625" customWidth="1"/>
    <col min="41" max="41" width="6.7109375" customWidth="1"/>
    <col min="42" max="42" width="7.140625" customWidth="1"/>
    <col min="43" max="43" width="21" customWidth="1"/>
    <col min="44" max="44" width="6.7109375" style="9" customWidth="1"/>
    <col min="45" max="46" width="6.7109375" style="9"/>
  </cols>
  <sheetData>
    <row r="1" spans="1:46" x14ac:dyDescent="0.2">
      <c r="A1" t="s">
        <v>357</v>
      </c>
      <c r="X1" t="s">
        <v>358</v>
      </c>
    </row>
    <row r="2" spans="1:46" s="130" customFormat="1" ht="91.5" customHeight="1" x14ac:dyDescent="0.2">
      <c r="B2" s="130" t="s">
        <v>175</v>
      </c>
      <c r="C2" s="130" t="s">
        <v>38</v>
      </c>
      <c r="D2" s="130" t="s">
        <v>176</v>
      </c>
      <c r="E2" s="130" t="s">
        <v>177</v>
      </c>
      <c r="F2" s="130" t="s">
        <v>22</v>
      </c>
      <c r="G2" s="130" t="s">
        <v>277</v>
      </c>
      <c r="H2" s="130" t="s">
        <v>310</v>
      </c>
      <c r="I2" s="130" t="s">
        <v>178</v>
      </c>
      <c r="J2" s="130" t="s">
        <v>179</v>
      </c>
      <c r="K2" s="130" t="s">
        <v>414</v>
      </c>
      <c r="L2" s="130" t="s">
        <v>180</v>
      </c>
      <c r="M2" s="130" t="s">
        <v>181</v>
      </c>
      <c r="N2" s="130" t="s">
        <v>182</v>
      </c>
      <c r="O2" s="130" t="s">
        <v>183</v>
      </c>
      <c r="P2" s="130" t="s">
        <v>281</v>
      </c>
      <c r="Q2" s="130" t="s">
        <v>184</v>
      </c>
      <c r="R2" s="130" t="s">
        <v>185</v>
      </c>
      <c r="S2" s="130" t="s">
        <v>186</v>
      </c>
      <c r="T2" s="130" t="s">
        <v>187</v>
      </c>
      <c r="U2" s="130" t="s">
        <v>188</v>
      </c>
      <c r="V2" s="130" t="s">
        <v>189</v>
      </c>
      <c r="W2" s="130" t="s">
        <v>190</v>
      </c>
      <c r="X2" s="130" t="s">
        <v>351</v>
      </c>
      <c r="Y2" s="130" t="s">
        <v>350</v>
      </c>
      <c r="Z2" s="130" t="s">
        <v>228</v>
      </c>
      <c r="AA2" s="130" t="s">
        <v>15</v>
      </c>
      <c r="AB2" s="130" t="s">
        <v>365</v>
      </c>
      <c r="AC2" s="130" t="s">
        <v>366</v>
      </c>
      <c r="AD2" s="130" t="s">
        <v>192</v>
      </c>
      <c r="AE2" s="130" t="s">
        <v>193</v>
      </c>
      <c r="AF2" s="130" t="s">
        <v>194</v>
      </c>
      <c r="AG2" s="130" t="s">
        <v>195</v>
      </c>
      <c r="AH2" s="130" t="s">
        <v>196</v>
      </c>
      <c r="AI2" s="130" t="s">
        <v>223</v>
      </c>
      <c r="AJ2" s="130" t="s">
        <v>224</v>
      </c>
      <c r="AK2" s="130" t="s">
        <v>225</v>
      </c>
      <c r="AL2" s="130" t="s">
        <v>353</v>
      </c>
      <c r="AM2" s="130" t="s">
        <v>226</v>
      </c>
      <c r="AN2" s="130" t="s">
        <v>352</v>
      </c>
      <c r="AO2" s="130" t="s">
        <v>227</v>
      </c>
      <c r="AP2" s="130" t="s">
        <v>349</v>
      </c>
      <c r="AQ2" s="419" t="s">
        <v>252</v>
      </c>
      <c r="AR2" s="422"/>
      <c r="AS2" s="422"/>
      <c r="AT2" s="422"/>
    </row>
    <row r="3" spans="1:46" s="131" customFormat="1" ht="10.5" x14ac:dyDescent="0.15">
      <c r="AQ3" s="420"/>
      <c r="AR3" s="423"/>
      <c r="AS3" s="423"/>
      <c r="AT3" s="423"/>
    </row>
    <row r="4" spans="1:46" s="347" customFormat="1" x14ac:dyDescent="0.25">
      <c r="B4" s="347">
        <f>IF(COUNTBLANK(Entrants!B17)=0,'Team Data'!A$2,0)</f>
        <v>0</v>
      </c>
      <c r="C4" s="347">
        <f>IF(COUNTBLANK(Entrants!B17)=0,Group!$B$8,0)</f>
        <v>0</v>
      </c>
      <c r="E4" s="347" t="str">
        <f>IF(TRIM(PROPER(Entrants!B17))="Zoe","Zoë",TRIM(PROPER(Entrants!B17)))</f>
        <v/>
      </c>
      <c r="F4" s="347" t="str">
        <f>TRIM(PROPER(Entrants!C17))</f>
        <v/>
      </c>
      <c r="G4" s="347">
        <f>IF(AND(Entrants!G17&gt;0,Entrants!G17&lt;1000000000),Entrants!G17,0)</f>
        <v>0</v>
      </c>
      <c r="H4" s="347">
        <f>IF(OR(AND(TYPE(Entrants!H17)=1,Entrants!H17&gt;1000),Entrants!H17="Y"),Entrants!H17,0)</f>
        <v>0</v>
      </c>
      <c r="I4" s="347" t="str">
        <f>UPPER(Entrants!J17)</f>
        <v/>
      </c>
      <c r="J4" s="347" t="str">
        <f>IF(Entrants!E17="F","F","")</f>
        <v/>
      </c>
      <c r="K4" s="347" t="str">
        <f>IF(Entrants!F17="L","L","")</f>
        <v/>
      </c>
      <c r="L4" s="347" t="str">
        <f>IF(Entrants!K17="R",TRUE,"")</f>
        <v/>
      </c>
      <c r="M4" s="347" t="str">
        <f>IF(Entrants!L17="X",TRUE,"")</f>
        <v/>
      </c>
      <c r="N4" s="347" t="str">
        <f>IF(Entrants!L17="N",TRUE,"")</f>
        <v/>
      </c>
      <c r="O4" s="349" t="str">
        <f>IF(Entrants!D17="","",Entrants!D17)</f>
        <v/>
      </c>
      <c r="P4" s="347" t="str">
        <f>IF(COUNTBLANK(Entrants!B17)=0,INT(Entrants!AD17),"")</f>
        <v/>
      </c>
      <c r="Q4" s="347" t="str">
        <f>IF(COUNTBLANK(Entrants!B17)=1,"",IF(P4&lt;14,"J","S"))</f>
        <v/>
      </c>
      <c r="R4" s="347" t="str">
        <f>IF(Entrants!B17="","",IF(Entrants!L17="n","PKEF",IF(Entrants!L17="x","K",TRUE)))</f>
        <v/>
      </c>
      <c r="S4" s="347" t="str">
        <f>IF(LEFT(Entrants!M17,1)="Y",TRUE,"")</f>
        <v/>
      </c>
      <c r="T4" s="347" t="str">
        <f>IF(LEFT(Entrants!N17,1)="Y",TRUE,"")</f>
        <v/>
      </c>
      <c r="U4" s="347" t="str">
        <f>IF(LEFT(Entrants!O17,1)="Y",TRUE,"")</f>
        <v/>
      </c>
      <c r="V4" s="347" t="str">
        <f>IF(LEFT(Entrants!P17,1)="Y",TRUE,"")</f>
        <v/>
      </c>
      <c r="W4" s="347" t="str">
        <f>IF(LEFT(Entrants!Q17,1)="Y",TRUE,"")</f>
        <v/>
      </c>
      <c r="X4" s="347" t="str">
        <f>IF(Entrants!S17="Open",TRUE,"")</f>
        <v/>
      </c>
      <c r="Y4" s="347" t="str">
        <f>IF(Entrants!S17="Sporter",TRUE,"")</f>
        <v/>
      </c>
      <c r="Z4" s="347" t="str">
        <f>IF(COUNTBLANK(Entrants!U17)=1,"",PROPER(Entrants!U17))</f>
        <v/>
      </c>
      <c r="AA4" s="347" t="str">
        <f>IF(LEFT(Entrants!R17)="Y",TRUE,"")</f>
        <v/>
      </c>
      <c r="AB4" s="347" t="str">
        <f>IF(Entrants!V17="Y",TRUE,"")</f>
        <v/>
      </c>
      <c r="AC4" s="347" t="str">
        <f>IF(LEFT(Entrants!W17)="Y",TRUE,"")</f>
        <v/>
      </c>
      <c r="AD4" s="347" t="str">
        <f>IF(Entrants!X17="A",TRUE,"")</f>
        <v/>
      </c>
      <c r="AE4" s="347" t="str">
        <f>IF(Entrants!X17="B",TRUE,"")</f>
        <v/>
      </c>
      <c r="AF4" s="347" t="str">
        <f>IF(Entrants!Y17="A",TRUE,"")</f>
        <v/>
      </c>
      <c r="AG4" s="347" t="str">
        <f>IF(Entrants!Y17="B",TRUE,"")</f>
        <v/>
      </c>
      <c r="AH4" s="347" t="str">
        <f>IF(Entrants!Y17="X",TRUE,"")</f>
        <v/>
      </c>
      <c r="AI4" s="347" t="str">
        <f>IF(Entrants!M17="Y","",IF(Entrants!M17="","",IF(ISERROR(VLOOKUP( Entrants!M17, Entrants!$Q$144:$Q$161,1,FALSE)),(Entrants!M17),"")))</f>
        <v/>
      </c>
      <c r="AJ4" s="347" t="str">
        <f>IF(Entrants!N17="Y","",IF(Entrants!N17="","",IF(ISERROR(VLOOKUP( Entrants!N17, Entrants!$Q$144:$Q$161,1,FALSE)),(Entrants!N17),"")))</f>
        <v/>
      </c>
      <c r="AK4" s="347" t="str">
        <f>IF(Entrants!O17="Y","",IF(Entrants!O17="","",IF(ISERROR(VLOOKUP( Entrants!O17, Entrants!$Q$144:$Q$161,1,FALSE)),(Entrants!O17),"")))</f>
        <v/>
      </c>
      <c r="AL4" s="347" t="str">
        <f>IF(Entrants!P17="Y","",IF(Entrants!P17="","",IF(ISERROR(VLOOKUP( Entrants!P17, Entrants!$Q$144:$Q$161,1,FALSE)),(Entrants!P17),"")))</f>
        <v/>
      </c>
      <c r="AM4" s="347" t="str">
        <f>IF(Entrants!Q17="Y","",IF(Entrants!Q17="","",IF(ISERROR(VLOOKUP( Entrants!Q17, Entrants!$Q$144:$Q$161,1,FALSE)),(Entrants!Q17),"")))</f>
        <v/>
      </c>
      <c r="AN4" s="347" t="str">
        <f>IF(LEN(Entrants!R17)&gt;1,Entrants!R17,"")</f>
        <v/>
      </c>
      <c r="AO4" s="347" t="str">
        <f>IF(Entrants!T17="Y","",IF(Entrants!T17="","",IF(ISERROR(VLOOKUP( Entrants!T17, Entrants!$Q$144:$Q$161,1,FALSE)),(Entrants!T17),"")))</f>
        <v/>
      </c>
      <c r="AP4" s="347" t="str">
        <f>IF(LEN(Entrants!V17)&gt;1,Entrants!V17,"")</f>
        <v/>
      </c>
      <c r="AQ4" s="421" t="str">
        <f>Entrants!BH17</f>
        <v/>
      </c>
      <c r="AR4" s="424"/>
      <c r="AS4" s="424"/>
      <c r="AT4" s="424"/>
    </row>
    <row r="5" spans="1:46" s="347" customFormat="1" x14ac:dyDescent="0.25">
      <c r="B5" s="347">
        <f>IF(COUNTBLANK(Entrants!B18)=0,'Team Data'!A$2,0)</f>
        <v>0</v>
      </c>
      <c r="C5" s="347">
        <f>IF(COUNTBLANK(Entrants!B18)=0,Group!$B$8,0)</f>
        <v>0</v>
      </c>
      <c r="E5" s="347" t="str">
        <f>IF(TRIM(PROPER(Entrants!B18))="Zoe","Zoë",TRIM(PROPER(Entrants!B18)))</f>
        <v/>
      </c>
      <c r="F5" s="347" t="str">
        <f>TRIM(PROPER(Entrants!C18))</f>
        <v/>
      </c>
      <c r="G5" s="347">
        <f>IF(AND(Entrants!G18&gt;0,Entrants!G18&lt;1000000000),Entrants!G18,0)</f>
        <v>0</v>
      </c>
      <c r="H5" s="347">
        <f>IF(OR(AND(TYPE(Entrants!H18)=1,Entrants!H18&gt;1000),Entrants!H18="Y"),Entrants!H18,0)</f>
        <v>0</v>
      </c>
      <c r="I5" s="347" t="str">
        <f>UPPER(Entrants!J18)</f>
        <v/>
      </c>
      <c r="J5" s="347" t="str">
        <f>IF(Entrants!E18="F","F","")</f>
        <v/>
      </c>
      <c r="K5" s="347" t="str">
        <f>IF(Entrants!F18="L","L","")</f>
        <v/>
      </c>
      <c r="L5" s="347" t="str">
        <f>IF(Entrants!K18="R",TRUE,"")</f>
        <v/>
      </c>
      <c r="M5" s="347" t="str">
        <f>IF(Entrants!L18="X",TRUE,"")</f>
        <v/>
      </c>
      <c r="N5" s="347" t="str">
        <f>IF(Entrants!L18="N",TRUE,"")</f>
        <v/>
      </c>
      <c r="O5" s="349" t="str">
        <f>IF(Entrants!D18="","",Entrants!D18)</f>
        <v/>
      </c>
      <c r="P5" s="347" t="str">
        <f>IF(COUNTBLANK(Entrants!B18)=0,INT(Entrants!AD18),"")</f>
        <v/>
      </c>
      <c r="Q5" s="347" t="str">
        <f>IF(COUNTBLANK(Entrants!B18)=1,"",IF(P5&lt;14,"J","S"))</f>
        <v/>
      </c>
      <c r="R5" s="347" t="str">
        <f>IF(Entrants!B18="","",IF(Entrants!L18="n","PKEF",IF(Entrants!L18="x","K",TRUE)))</f>
        <v/>
      </c>
      <c r="S5" s="347" t="str">
        <f>IF(LEFT(Entrants!M18,1)="Y",TRUE,"")</f>
        <v/>
      </c>
      <c r="T5" s="347" t="str">
        <f>IF(LEFT(Entrants!N18,1)="Y",TRUE,"")</f>
        <v/>
      </c>
      <c r="U5" s="347" t="str">
        <f>IF(LEFT(Entrants!O18,1)="Y",TRUE,"")</f>
        <v/>
      </c>
      <c r="V5" s="347" t="str">
        <f>IF(LEFT(Entrants!P18,1)="Y",TRUE,"")</f>
        <v/>
      </c>
      <c r="W5" s="347" t="str">
        <f>IF(LEFT(Entrants!Q18,1)="Y",TRUE,"")</f>
        <v/>
      </c>
      <c r="X5" s="347" t="str">
        <f>IF(Entrants!S18="Open",TRUE,"")</f>
        <v/>
      </c>
      <c r="Y5" s="347" t="str">
        <f>IF(Entrants!S18="Sporter",TRUE,"")</f>
        <v/>
      </c>
      <c r="Z5" s="347" t="str">
        <f>IF(COUNTBLANK(Entrants!U18)=1,"",PROPER(Entrants!U18))</f>
        <v/>
      </c>
      <c r="AA5" s="347" t="str">
        <f>IF(LEFT(Entrants!R18)="Y",TRUE,"")</f>
        <v/>
      </c>
      <c r="AB5" s="347" t="str">
        <f>IF(Entrants!V18="Y",TRUE,"")</f>
        <v/>
      </c>
      <c r="AC5" s="347" t="str">
        <f>IF(LEFT(Entrants!W18)="Y",TRUE,"")</f>
        <v/>
      </c>
      <c r="AD5" s="347" t="str">
        <f>IF(Entrants!X18="A",TRUE,"")</f>
        <v/>
      </c>
      <c r="AE5" s="347" t="str">
        <f>IF(Entrants!X18="B",TRUE,"")</f>
        <v/>
      </c>
      <c r="AF5" s="347" t="str">
        <f>IF(Entrants!Y18="A",TRUE,"")</f>
        <v/>
      </c>
      <c r="AG5" s="347" t="str">
        <f>IF(Entrants!Y18="B",TRUE,"")</f>
        <v/>
      </c>
      <c r="AH5" s="347" t="str">
        <f>IF(Entrants!Y18="X",TRUE,"")</f>
        <v/>
      </c>
      <c r="AI5" s="347" t="str">
        <f>IF(Entrants!M18="Y","",IF(Entrants!M18="","",IF(ISERROR(VLOOKUP( Entrants!M18, Entrants!$Q$144:$Q$161,1,FALSE)),(Entrants!M18),"")))</f>
        <v/>
      </c>
      <c r="AJ5" s="347" t="str">
        <f>IF(Entrants!N18="Y","",IF(Entrants!N18="","",IF(ISERROR(VLOOKUP( Entrants!N18, Entrants!$Q$144:$Q$161,1,FALSE)),(Entrants!N18),"")))</f>
        <v/>
      </c>
      <c r="AK5" s="347" t="str">
        <f>IF(Entrants!O18="Y","",IF(Entrants!O18="","",IF(ISERROR(VLOOKUP( Entrants!O18, Entrants!$Q$144:$Q$161,1,FALSE)),(Entrants!O18),"")))</f>
        <v/>
      </c>
      <c r="AL5" s="347" t="str">
        <f>IF(Entrants!P18="Y","",IF(Entrants!P18="","",IF(ISERROR(VLOOKUP( Entrants!P18, Entrants!$Q$144:$Q$161,1,FALSE)),(Entrants!P18),"")))</f>
        <v/>
      </c>
      <c r="AM5" s="347" t="str">
        <f>IF(Entrants!Q18="Y","",IF(Entrants!Q18="","",IF(ISERROR(VLOOKUP( Entrants!Q18, Entrants!$Q$144:$Q$161,1,FALSE)),(Entrants!Q18),"")))</f>
        <v/>
      </c>
      <c r="AN5" s="347" t="str">
        <f>IF(LEN(Entrants!R18)&gt;1,Entrants!R18,"")</f>
        <v/>
      </c>
      <c r="AO5" s="347" t="str">
        <f>IF(Entrants!T18="Y","",IF(Entrants!T18="","",IF(ISERROR(VLOOKUP( Entrants!T18, Entrants!$Q$144:$Q$161,1,FALSE)),(Entrants!T18),"")))</f>
        <v/>
      </c>
      <c r="AP5" s="347" t="str">
        <f>IF(LEN(Entrants!V18)&gt;1,Entrants!V18,"")</f>
        <v/>
      </c>
      <c r="AQ5" s="421" t="str">
        <f>Entrants!BH18</f>
        <v/>
      </c>
      <c r="AR5" s="424"/>
      <c r="AS5" s="424"/>
      <c r="AT5" s="424"/>
    </row>
    <row r="6" spans="1:46" s="347" customFormat="1" x14ac:dyDescent="0.25">
      <c r="B6" s="347">
        <f>IF(COUNTBLANK(Entrants!B19)=0,'Team Data'!A$2,0)</f>
        <v>0</v>
      </c>
      <c r="C6" s="347">
        <f>IF(COUNTBLANK(Entrants!B19)=0,Group!$B$8,0)</f>
        <v>0</v>
      </c>
      <c r="E6" s="347" t="str">
        <f>IF(TRIM(PROPER(Entrants!B19))="Zoe","Zoë",TRIM(PROPER(Entrants!B19)))</f>
        <v/>
      </c>
      <c r="F6" s="347" t="str">
        <f>TRIM(PROPER(Entrants!C19))</f>
        <v/>
      </c>
      <c r="G6" s="347">
        <f>IF(AND(Entrants!G19&gt;0,Entrants!G19&lt;1000000000),Entrants!G19,0)</f>
        <v>0</v>
      </c>
      <c r="H6" s="347">
        <f>IF(OR(AND(TYPE(Entrants!H19)=1,Entrants!H19&gt;1000),Entrants!H19="Y"),Entrants!H19,0)</f>
        <v>0</v>
      </c>
      <c r="I6" s="347" t="str">
        <f>UPPER(Entrants!J19)</f>
        <v/>
      </c>
      <c r="J6" s="347" t="str">
        <f>IF(Entrants!E19="F","F","")</f>
        <v/>
      </c>
      <c r="K6" s="347" t="str">
        <f>IF(Entrants!F19="L","L","")</f>
        <v/>
      </c>
      <c r="L6" s="347" t="str">
        <f>IF(Entrants!K19="R",TRUE,"")</f>
        <v/>
      </c>
      <c r="M6" s="347" t="str">
        <f>IF(Entrants!L19="X",TRUE,"")</f>
        <v/>
      </c>
      <c r="N6" s="347" t="str">
        <f>IF(Entrants!L19="N",TRUE,"")</f>
        <v/>
      </c>
      <c r="O6" s="349" t="str">
        <f>IF(Entrants!D19="","",Entrants!D19)</f>
        <v/>
      </c>
      <c r="P6" s="347" t="str">
        <f>IF(COUNTBLANK(Entrants!B19)=0,INT(Entrants!AD19),"")</f>
        <v/>
      </c>
      <c r="Q6" s="347" t="str">
        <f>IF(COUNTBLANK(Entrants!B19)=1,"",IF(P6&lt;14,"J","S"))</f>
        <v/>
      </c>
      <c r="R6" s="347" t="str">
        <f>IF(Entrants!B19="","",IF(Entrants!L19="n","PKEF",IF(Entrants!L19="x","K",TRUE)))</f>
        <v/>
      </c>
      <c r="S6" s="347" t="str">
        <f>IF(LEFT(Entrants!M19,1)="Y",TRUE,"")</f>
        <v/>
      </c>
      <c r="T6" s="347" t="str">
        <f>IF(LEFT(Entrants!N19,1)="Y",TRUE,"")</f>
        <v/>
      </c>
      <c r="U6" s="347" t="str">
        <f>IF(LEFT(Entrants!O19,1)="Y",TRUE,"")</f>
        <v/>
      </c>
      <c r="V6" s="347" t="str">
        <f>IF(LEFT(Entrants!P19,1)="Y",TRUE,"")</f>
        <v/>
      </c>
      <c r="W6" s="347" t="str">
        <f>IF(LEFT(Entrants!Q19,1)="Y",TRUE,"")</f>
        <v/>
      </c>
      <c r="X6" s="347" t="str">
        <f>IF(Entrants!S19="Open",TRUE,"")</f>
        <v/>
      </c>
      <c r="Y6" s="347" t="str">
        <f>IF(Entrants!S19="Sporter",TRUE,"")</f>
        <v/>
      </c>
      <c r="Z6" s="347" t="str">
        <f>IF(COUNTBLANK(Entrants!U19)=1,"",PROPER(Entrants!U19))</f>
        <v/>
      </c>
      <c r="AA6" s="347" t="str">
        <f>IF(LEFT(Entrants!R19)="Y",TRUE,"")</f>
        <v/>
      </c>
      <c r="AB6" s="347" t="str">
        <f>IF(Entrants!V19="Y",TRUE,"")</f>
        <v/>
      </c>
      <c r="AC6" s="347" t="str">
        <f>IF(LEFT(Entrants!W19)="Y",TRUE,"")</f>
        <v/>
      </c>
      <c r="AD6" s="347" t="str">
        <f>IF(Entrants!X19="A",TRUE,"")</f>
        <v/>
      </c>
      <c r="AE6" s="347" t="str">
        <f>IF(Entrants!X19="B",TRUE,"")</f>
        <v/>
      </c>
      <c r="AF6" s="347" t="str">
        <f>IF(Entrants!Y19="A",TRUE,"")</f>
        <v/>
      </c>
      <c r="AG6" s="347" t="str">
        <f>IF(Entrants!Y19="B",TRUE,"")</f>
        <v/>
      </c>
      <c r="AH6" s="347" t="str">
        <f>IF(Entrants!Y19="X",TRUE,"")</f>
        <v/>
      </c>
      <c r="AI6" s="347" t="str">
        <f>IF(Entrants!M19="Y","",IF(Entrants!M19="","",IF(ISERROR(VLOOKUP( Entrants!M19, Entrants!$Q$144:$Q$161,1,FALSE)),(Entrants!M19),"")))</f>
        <v/>
      </c>
      <c r="AJ6" s="347" t="str">
        <f>IF(Entrants!N19="Y","",IF(Entrants!N19="","",IF(ISERROR(VLOOKUP( Entrants!N19, Entrants!$Q$144:$Q$161,1,FALSE)),(Entrants!N19),"")))</f>
        <v/>
      </c>
      <c r="AK6" s="347" t="str">
        <f>IF(Entrants!O19="Y","",IF(Entrants!O19="","",IF(ISERROR(VLOOKUP( Entrants!O19, Entrants!$Q$144:$Q$161,1,FALSE)),(Entrants!O19),"")))</f>
        <v/>
      </c>
      <c r="AL6" s="347" t="str">
        <f>IF(Entrants!P19="Y","",IF(Entrants!P19="","",IF(ISERROR(VLOOKUP( Entrants!P19, Entrants!$Q$144:$Q$161,1,FALSE)),(Entrants!P19),"")))</f>
        <v/>
      </c>
      <c r="AM6" s="347" t="str">
        <f>IF(Entrants!Q19="Y","",IF(Entrants!Q19="","",IF(ISERROR(VLOOKUP( Entrants!Q19, Entrants!$Q$144:$Q$161,1,FALSE)),(Entrants!Q19),"")))</f>
        <v/>
      </c>
      <c r="AN6" s="347" t="str">
        <f>IF(LEN(Entrants!R19)&gt;1,Entrants!R19,"")</f>
        <v/>
      </c>
      <c r="AO6" s="347" t="str">
        <f>IF(Entrants!T19="Y","",IF(Entrants!T19="","",IF(ISERROR(VLOOKUP( Entrants!T19, Entrants!$Q$144:$Q$161,1,FALSE)),(Entrants!T19),"")))</f>
        <v/>
      </c>
      <c r="AP6" s="347" t="str">
        <f>IF(LEN(Entrants!V19)&gt;1,Entrants!V19,"")</f>
        <v/>
      </c>
      <c r="AQ6" s="421" t="str">
        <f>Entrants!BH19</f>
        <v/>
      </c>
      <c r="AR6" s="424"/>
      <c r="AS6" s="424"/>
      <c r="AT6" s="424"/>
    </row>
    <row r="7" spans="1:46" s="347" customFormat="1" x14ac:dyDescent="0.25">
      <c r="B7" s="347">
        <f>IF(COUNTBLANK(Entrants!B20)=0,'Team Data'!A$2,0)</f>
        <v>0</v>
      </c>
      <c r="C7" s="347">
        <f>IF(COUNTBLANK(Entrants!B20)=0,Group!$B$8,0)</f>
        <v>0</v>
      </c>
      <c r="E7" s="347" t="str">
        <f>IF(TRIM(PROPER(Entrants!B20))="Zoe","Zoë",TRIM(PROPER(Entrants!B20)))</f>
        <v/>
      </c>
      <c r="F7" s="347" t="str">
        <f>TRIM(PROPER(Entrants!C20))</f>
        <v/>
      </c>
      <c r="G7" s="347">
        <f>IF(AND(Entrants!G20&gt;0,Entrants!G20&lt;1000000000),Entrants!G20,0)</f>
        <v>0</v>
      </c>
      <c r="H7" s="347">
        <f>IF(OR(AND(TYPE(Entrants!H20)=1,Entrants!H20&gt;1000),Entrants!H20="Y"),Entrants!H20,0)</f>
        <v>0</v>
      </c>
      <c r="I7" s="347" t="str">
        <f>UPPER(Entrants!J20)</f>
        <v/>
      </c>
      <c r="J7" s="347" t="str">
        <f>IF(Entrants!E20="F","F","")</f>
        <v/>
      </c>
      <c r="K7" s="347" t="str">
        <f>IF(Entrants!F20="L","L","")</f>
        <v/>
      </c>
      <c r="L7" s="347" t="str">
        <f>IF(Entrants!K20="R",TRUE,"")</f>
        <v/>
      </c>
      <c r="M7" s="347" t="str">
        <f>IF(Entrants!L20="X",TRUE,"")</f>
        <v/>
      </c>
      <c r="N7" s="347" t="str">
        <f>IF(Entrants!L20="N",TRUE,"")</f>
        <v/>
      </c>
      <c r="O7" s="349" t="str">
        <f>IF(Entrants!D20="","",Entrants!D20)</f>
        <v/>
      </c>
      <c r="P7" s="347" t="str">
        <f>IF(COUNTBLANK(Entrants!B20)=0,INT(Entrants!AD20),"")</f>
        <v/>
      </c>
      <c r="Q7" s="347" t="str">
        <f>IF(COUNTBLANK(Entrants!B20)=1,"",IF(P7&lt;14,"J","S"))</f>
        <v/>
      </c>
      <c r="R7" s="347" t="str">
        <f>IF(Entrants!B20="","",IF(Entrants!L20="n","PKEF",IF(Entrants!L20="x","K",TRUE)))</f>
        <v/>
      </c>
      <c r="S7" s="347" t="str">
        <f>IF(LEFT(Entrants!M20,1)="Y",TRUE,"")</f>
        <v/>
      </c>
      <c r="T7" s="347" t="str">
        <f>IF(LEFT(Entrants!N20,1)="Y",TRUE,"")</f>
        <v/>
      </c>
      <c r="U7" s="347" t="str">
        <f>IF(LEFT(Entrants!O20,1)="Y",TRUE,"")</f>
        <v/>
      </c>
      <c r="V7" s="347" t="str">
        <f>IF(LEFT(Entrants!P20,1)="Y",TRUE,"")</f>
        <v/>
      </c>
      <c r="W7" s="347" t="str">
        <f>IF(LEFT(Entrants!Q20,1)="Y",TRUE,"")</f>
        <v/>
      </c>
      <c r="X7" s="347" t="str">
        <f>IF(Entrants!S20="Open",TRUE,"")</f>
        <v/>
      </c>
      <c r="Y7" s="347" t="str">
        <f>IF(Entrants!S20="Sporter",TRUE,"")</f>
        <v/>
      </c>
      <c r="Z7" s="347" t="str">
        <f>IF(COUNTBLANK(Entrants!U20)=1,"",PROPER(Entrants!U20))</f>
        <v/>
      </c>
      <c r="AA7" s="347" t="str">
        <f>IF(LEFT(Entrants!R20)="Y",TRUE,"")</f>
        <v/>
      </c>
      <c r="AB7" s="347" t="str">
        <f>IF(Entrants!V20="Y",TRUE,"")</f>
        <v/>
      </c>
      <c r="AC7" s="347" t="str">
        <f>IF(LEFT(Entrants!W20)="Y",TRUE,"")</f>
        <v/>
      </c>
      <c r="AD7" s="347" t="str">
        <f>IF(Entrants!X20="A",TRUE,"")</f>
        <v/>
      </c>
      <c r="AE7" s="347" t="str">
        <f>IF(Entrants!X20="B",TRUE,"")</f>
        <v/>
      </c>
      <c r="AF7" s="347" t="str">
        <f>IF(Entrants!Y20="A",TRUE,"")</f>
        <v/>
      </c>
      <c r="AG7" s="347" t="str">
        <f>IF(Entrants!Y20="B",TRUE,"")</f>
        <v/>
      </c>
      <c r="AH7" s="347" t="str">
        <f>IF(Entrants!Y20="X",TRUE,"")</f>
        <v/>
      </c>
      <c r="AI7" s="347" t="str">
        <f>IF(Entrants!M20="Y","",IF(Entrants!M20="","",IF(ISERROR(VLOOKUP( Entrants!M20, Entrants!$Q$144:$Q$161,1,FALSE)),(Entrants!M20),"")))</f>
        <v/>
      </c>
      <c r="AJ7" s="347" t="str">
        <f>IF(Entrants!N20="Y","",IF(Entrants!N20="","",IF(ISERROR(VLOOKUP( Entrants!N20, Entrants!$Q$144:$Q$161,1,FALSE)),(Entrants!N20),"")))</f>
        <v/>
      </c>
      <c r="AK7" s="347" t="str">
        <f>IF(Entrants!O20="Y","",IF(Entrants!O20="","",IF(ISERROR(VLOOKUP( Entrants!O20, Entrants!$Q$144:$Q$161,1,FALSE)),(Entrants!O20),"")))</f>
        <v/>
      </c>
      <c r="AL7" s="347" t="str">
        <f>IF(Entrants!P20="Y","",IF(Entrants!P20="","",IF(ISERROR(VLOOKUP( Entrants!P20, Entrants!$Q$144:$Q$161,1,FALSE)),(Entrants!P20),"")))</f>
        <v/>
      </c>
      <c r="AM7" s="347" t="str">
        <f>IF(Entrants!Q20="Y","",IF(Entrants!Q20="","",IF(ISERROR(VLOOKUP( Entrants!Q20, Entrants!$Q$144:$Q$161,1,FALSE)),(Entrants!Q20),"")))</f>
        <v/>
      </c>
      <c r="AN7" s="347" t="str">
        <f>IF(LEN(Entrants!R20)&gt;1,Entrants!R20,"")</f>
        <v/>
      </c>
      <c r="AO7" s="347" t="str">
        <f>IF(Entrants!T20="Y","",IF(Entrants!T20="","",IF(ISERROR(VLOOKUP( Entrants!T20, Entrants!$Q$144:$Q$161,1,FALSE)),(Entrants!T20),"")))</f>
        <v/>
      </c>
      <c r="AP7" s="347" t="str">
        <f>IF(LEN(Entrants!V20)&gt;1,Entrants!V20,"")</f>
        <v/>
      </c>
      <c r="AQ7" s="421" t="str">
        <f>Entrants!BH20</f>
        <v/>
      </c>
      <c r="AR7" s="424"/>
      <c r="AS7" s="424"/>
      <c r="AT7" s="424"/>
    </row>
    <row r="8" spans="1:46" s="347" customFormat="1" x14ac:dyDescent="0.25">
      <c r="B8" s="347">
        <f>IF(COUNTBLANK(Entrants!B21)=0,'Team Data'!A$2,0)</f>
        <v>0</v>
      </c>
      <c r="C8" s="347">
        <f>IF(COUNTBLANK(Entrants!B21)=0,Group!$B$8,0)</f>
        <v>0</v>
      </c>
      <c r="E8" s="347" t="str">
        <f>IF(TRIM(PROPER(Entrants!B21))="Zoe","Zoë",TRIM(PROPER(Entrants!B21)))</f>
        <v/>
      </c>
      <c r="F8" s="347" t="str">
        <f>TRIM(PROPER(Entrants!C21))</f>
        <v/>
      </c>
      <c r="G8" s="347">
        <f>IF(AND(Entrants!G21&gt;0,Entrants!G21&lt;1000000000),Entrants!G21,0)</f>
        <v>0</v>
      </c>
      <c r="H8" s="347">
        <f>IF(OR(AND(TYPE(Entrants!H21)=1,Entrants!H21&gt;1000),Entrants!H21="Y"),Entrants!H21,0)</f>
        <v>0</v>
      </c>
      <c r="I8" s="347" t="str">
        <f>UPPER(Entrants!J21)</f>
        <v/>
      </c>
      <c r="J8" s="347" t="str">
        <f>IF(Entrants!E21="F","F","")</f>
        <v/>
      </c>
      <c r="K8" s="347" t="str">
        <f>IF(Entrants!F21="L","L","")</f>
        <v/>
      </c>
      <c r="L8" s="347" t="str">
        <f>IF(Entrants!K21="R",TRUE,"")</f>
        <v/>
      </c>
      <c r="M8" s="347" t="str">
        <f>IF(Entrants!L21="X",TRUE,"")</f>
        <v/>
      </c>
      <c r="N8" s="347" t="str">
        <f>IF(Entrants!L21="N",TRUE,"")</f>
        <v/>
      </c>
      <c r="O8" s="349" t="str">
        <f>IF(Entrants!D21="","",Entrants!D21)</f>
        <v/>
      </c>
      <c r="P8" s="347" t="str">
        <f>IF(COUNTBLANK(Entrants!B21)=0,INT(Entrants!AD21),"")</f>
        <v/>
      </c>
      <c r="Q8" s="347" t="str">
        <f>IF(COUNTBLANK(Entrants!B21)=1,"",IF(P8&lt;14,"J","S"))</f>
        <v/>
      </c>
      <c r="R8" s="347" t="str">
        <f>IF(Entrants!B21="","",IF(Entrants!L21="n","PKEF",IF(Entrants!L21="x","K",TRUE)))</f>
        <v/>
      </c>
      <c r="S8" s="347" t="str">
        <f>IF(LEFT(Entrants!M21,1)="Y",TRUE,"")</f>
        <v/>
      </c>
      <c r="T8" s="347" t="str">
        <f>IF(LEFT(Entrants!N21,1)="Y",TRUE,"")</f>
        <v/>
      </c>
      <c r="U8" s="347" t="str">
        <f>IF(LEFT(Entrants!O21,1)="Y",TRUE,"")</f>
        <v/>
      </c>
      <c r="V8" s="347" t="str">
        <f>IF(LEFT(Entrants!P21,1)="Y",TRUE,"")</f>
        <v/>
      </c>
      <c r="W8" s="347" t="str">
        <f>IF(LEFT(Entrants!Q21,1)="Y",TRUE,"")</f>
        <v/>
      </c>
      <c r="X8" s="347" t="str">
        <f>IF(Entrants!S21="Open",TRUE,"")</f>
        <v/>
      </c>
      <c r="Y8" s="347" t="str">
        <f>IF(Entrants!S21="Sporter",TRUE,"")</f>
        <v/>
      </c>
      <c r="Z8" s="347" t="str">
        <f>IF(COUNTBLANK(Entrants!U21)=1,"",PROPER(Entrants!U21))</f>
        <v/>
      </c>
      <c r="AA8" s="347" t="str">
        <f>IF(LEFT(Entrants!R21)="Y",TRUE,"")</f>
        <v/>
      </c>
      <c r="AB8" s="347" t="str">
        <f>IF(Entrants!V21="Y",TRUE,"")</f>
        <v/>
      </c>
      <c r="AC8" s="347" t="str">
        <f>IF(LEFT(Entrants!W21)="Y",TRUE,"")</f>
        <v/>
      </c>
      <c r="AD8" s="347" t="str">
        <f>IF(Entrants!X21="A",TRUE,"")</f>
        <v/>
      </c>
      <c r="AE8" s="347" t="str">
        <f>IF(Entrants!X21="B",TRUE,"")</f>
        <v/>
      </c>
      <c r="AF8" s="347" t="str">
        <f>IF(Entrants!Y21="A",TRUE,"")</f>
        <v/>
      </c>
      <c r="AG8" s="347" t="str">
        <f>IF(Entrants!Y21="B",TRUE,"")</f>
        <v/>
      </c>
      <c r="AH8" s="347" t="str">
        <f>IF(Entrants!Y21="X",TRUE,"")</f>
        <v/>
      </c>
      <c r="AI8" s="347" t="str">
        <f>IF(Entrants!M21="Y","",IF(Entrants!M21="","",IF(ISERROR(VLOOKUP( Entrants!M21, Entrants!$Q$144:$Q$161,1,FALSE)),(Entrants!M21),"")))</f>
        <v/>
      </c>
      <c r="AJ8" s="347" t="str">
        <f>IF(Entrants!N21="Y","",IF(Entrants!N21="","",IF(ISERROR(VLOOKUP( Entrants!N21, Entrants!$Q$144:$Q$161,1,FALSE)),(Entrants!N21),"")))</f>
        <v/>
      </c>
      <c r="AK8" s="347" t="str">
        <f>IF(Entrants!O21="Y","",IF(Entrants!O21="","",IF(ISERROR(VLOOKUP( Entrants!O21, Entrants!$Q$144:$Q$161,1,FALSE)),(Entrants!O21),"")))</f>
        <v/>
      </c>
      <c r="AL8" s="347" t="str">
        <f>IF(Entrants!P21="Y","",IF(Entrants!P21="","",IF(ISERROR(VLOOKUP( Entrants!P21, Entrants!$Q$144:$Q$161,1,FALSE)),(Entrants!P21),"")))</f>
        <v/>
      </c>
      <c r="AM8" s="347" t="str">
        <f>IF(Entrants!Q21="Y","",IF(Entrants!Q21="","",IF(ISERROR(VLOOKUP( Entrants!Q21, Entrants!$Q$144:$Q$161,1,FALSE)),(Entrants!Q21),"")))</f>
        <v/>
      </c>
      <c r="AN8" s="347" t="str">
        <f>IF(LEN(Entrants!R21)&gt;1,Entrants!R21,"")</f>
        <v/>
      </c>
      <c r="AO8" s="347" t="str">
        <f>IF(Entrants!T21="Y","",IF(Entrants!T21="","",IF(ISERROR(VLOOKUP( Entrants!T21, Entrants!$Q$144:$Q$161,1,FALSE)),(Entrants!T21),"")))</f>
        <v/>
      </c>
      <c r="AP8" s="347" t="str">
        <f>IF(LEN(Entrants!V21)&gt;1,Entrants!V21,"")</f>
        <v/>
      </c>
      <c r="AQ8" s="421" t="str">
        <f>Entrants!BH21</f>
        <v/>
      </c>
      <c r="AR8" s="424"/>
      <c r="AS8" s="424"/>
      <c r="AT8" s="424"/>
    </row>
    <row r="9" spans="1:46" s="347" customFormat="1" x14ac:dyDescent="0.25">
      <c r="B9" s="347">
        <f>IF(COUNTBLANK(Entrants!B22)=0,'Team Data'!A$2,0)</f>
        <v>0</v>
      </c>
      <c r="C9" s="347">
        <f>IF(COUNTBLANK(Entrants!B22)=0,Group!$B$8,0)</f>
        <v>0</v>
      </c>
      <c r="E9" s="347" t="str">
        <f>IF(TRIM(PROPER(Entrants!B22))="Zoe","Zoë",TRIM(PROPER(Entrants!B22)))</f>
        <v/>
      </c>
      <c r="F9" s="347" t="str">
        <f>TRIM(PROPER(Entrants!C22))</f>
        <v/>
      </c>
      <c r="G9" s="347">
        <f>IF(AND(Entrants!G22&gt;0,Entrants!G22&lt;1000000000),Entrants!G22,0)</f>
        <v>0</v>
      </c>
      <c r="H9" s="347">
        <f>IF(OR(AND(TYPE(Entrants!H22)=1,Entrants!H22&gt;1000),Entrants!H22="Y"),Entrants!H22,0)</f>
        <v>0</v>
      </c>
      <c r="I9" s="347" t="str">
        <f>UPPER(Entrants!J22)</f>
        <v/>
      </c>
      <c r="J9" s="347" t="str">
        <f>IF(Entrants!E22="F","F","")</f>
        <v/>
      </c>
      <c r="K9" s="347" t="str">
        <f>IF(Entrants!F22="L","L","")</f>
        <v/>
      </c>
      <c r="L9" s="347" t="str">
        <f>IF(Entrants!K22="R",TRUE,"")</f>
        <v/>
      </c>
      <c r="M9" s="347" t="str">
        <f>IF(Entrants!L22="X",TRUE,"")</f>
        <v/>
      </c>
      <c r="N9" s="347" t="str">
        <f>IF(Entrants!L22="N",TRUE,"")</f>
        <v/>
      </c>
      <c r="O9" s="349" t="str">
        <f>IF(Entrants!D22="","",Entrants!D22)</f>
        <v/>
      </c>
      <c r="P9" s="347" t="str">
        <f>IF(COUNTBLANK(Entrants!B22)=0,INT(Entrants!AD22),"")</f>
        <v/>
      </c>
      <c r="Q9" s="347" t="str">
        <f>IF(COUNTBLANK(Entrants!B22)=1,"",IF(P9&lt;14,"J","S"))</f>
        <v/>
      </c>
      <c r="R9" s="347" t="str">
        <f>IF(Entrants!B22="","",IF(Entrants!L22="n","PKEF",IF(Entrants!L22="x","K",TRUE)))</f>
        <v/>
      </c>
      <c r="S9" s="347" t="str">
        <f>IF(LEFT(Entrants!M22,1)="Y",TRUE,"")</f>
        <v/>
      </c>
      <c r="T9" s="347" t="str">
        <f>IF(LEFT(Entrants!N22,1)="Y",TRUE,"")</f>
        <v/>
      </c>
      <c r="U9" s="347" t="str">
        <f>IF(LEFT(Entrants!O22,1)="Y",TRUE,"")</f>
        <v/>
      </c>
      <c r="V9" s="347" t="str">
        <f>IF(LEFT(Entrants!P22,1)="Y",TRUE,"")</f>
        <v/>
      </c>
      <c r="W9" s="347" t="str">
        <f>IF(LEFT(Entrants!Q22,1)="Y",TRUE,"")</f>
        <v/>
      </c>
      <c r="X9" s="347" t="str">
        <f>IF(Entrants!S22="Open",TRUE,"")</f>
        <v/>
      </c>
      <c r="Y9" s="347" t="str">
        <f>IF(Entrants!S22="Sporter",TRUE,"")</f>
        <v/>
      </c>
      <c r="Z9" s="347" t="str">
        <f>IF(COUNTBLANK(Entrants!U22)=1,"",PROPER(Entrants!U22))</f>
        <v/>
      </c>
      <c r="AA9" s="347" t="str">
        <f>IF(LEFT(Entrants!R22)="Y",TRUE,"")</f>
        <v/>
      </c>
      <c r="AB9" s="347" t="str">
        <f>IF(Entrants!V22="Y",TRUE,"")</f>
        <v/>
      </c>
      <c r="AC9" s="347" t="str">
        <f>IF(LEFT(Entrants!W22)="Y",TRUE,"")</f>
        <v/>
      </c>
      <c r="AD9" s="347" t="str">
        <f>IF(Entrants!X22="A",TRUE,"")</f>
        <v/>
      </c>
      <c r="AE9" s="347" t="str">
        <f>IF(Entrants!X22="B",TRUE,"")</f>
        <v/>
      </c>
      <c r="AF9" s="347" t="str">
        <f>IF(Entrants!Y22="A",TRUE,"")</f>
        <v/>
      </c>
      <c r="AG9" s="347" t="str">
        <f>IF(Entrants!Y22="B",TRUE,"")</f>
        <v/>
      </c>
      <c r="AH9" s="347" t="str">
        <f>IF(Entrants!Y22="X",TRUE,"")</f>
        <v/>
      </c>
      <c r="AI9" s="347" t="str">
        <f>IF(Entrants!M22="Y","",IF(Entrants!M22="","",IF(ISERROR(VLOOKUP( Entrants!M22, Entrants!$Q$144:$Q$161,1,FALSE)),(Entrants!M22),"")))</f>
        <v/>
      </c>
      <c r="AJ9" s="347" t="str">
        <f>IF(Entrants!N22="Y","",IF(Entrants!N22="","",IF(ISERROR(VLOOKUP( Entrants!N22, Entrants!$Q$144:$Q$161,1,FALSE)),(Entrants!N22),"")))</f>
        <v/>
      </c>
      <c r="AK9" s="347" t="str">
        <f>IF(Entrants!O22="Y","",IF(Entrants!O22="","",IF(ISERROR(VLOOKUP( Entrants!O22, Entrants!$Q$144:$Q$161,1,FALSE)),(Entrants!O22),"")))</f>
        <v/>
      </c>
      <c r="AL9" s="347" t="str">
        <f>IF(Entrants!P22="Y","",IF(Entrants!P22="","",IF(ISERROR(VLOOKUP( Entrants!P22, Entrants!$Q$144:$Q$161,1,FALSE)),(Entrants!P22),"")))</f>
        <v/>
      </c>
      <c r="AM9" s="347" t="str">
        <f>IF(Entrants!Q22="Y","",IF(Entrants!Q22="","",IF(ISERROR(VLOOKUP( Entrants!Q22, Entrants!$Q$144:$Q$161,1,FALSE)),(Entrants!Q22),"")))</f>
        <v/>
      </c>
      <c r="AN9" s="347" t="str">
        <f>IF(LEN(Entrants!R22)&gt;1,Entrants!R22,"")</f>
        <v/>
      </c>
      <c r="AO9" s="347" t="str">
        <f>IF(Entrants!T22="Y","",IF(Entrants!T22="","",IF(ISERROR(VLOOKUP( Entrants!T22, Entrants!$Q$144:$Q$161,1,FALSE)),(Entrants!T22),"")))</f>
        <v/>
      </c>
      <c r="AP9" s="347" t="str">
        <f>IF(LEN(Entrants!V22)&gt;1,Entrants!V22,"")</f>
        <v/>
      </c>
      <c r="AQ9" s="421" t="str">
        <f>Entrants!BH22</f>
        <v/>
      </c>
      <c r="AR9" s="424"/>
      <c r="AS9" s="424"/>
      <c r="AT9" s="424"/>
    </row>
    <row r="10" spans="1:46" s="347" customFormat="1" x14ac:dyDescent="0.25">
      <c r="B10" s="347">
        <f>IF(COUNTBLANK(Entrants!B23)=0,'Team Data'!A$2,0)</f>
        <v>0</v>
      </c>
      <c r="C10" s="347">
        <f>IF(COUNTBLANK(Entrants!B23)=0,Group!$B$8,0)</f>
        <v>0</v>
      </c>
      <c r="E10" s="347" t="str">
        <f>IF(TRIM(PROPER(Entrants!B23))="Zoe","Zoë",TRIM(PROPER(Entrants!B23)))</f>
        <v/>
      </c>
      <c r="F10" s="347" t="str">
        <f>TRIM(PROPER(Entrants!C23))</f>
        <v/>
      </c>
      <c r="G10" s="347">
        <f>IF(AND(Entrants!G23&gt;0,Entrants!G23&lt;1000000000),Entrants!G23,0)</f>
        <v>0</v>
      </c>
      <c r="H10" s="347">
        <f>IF(OR(AND(TYPE(Entrants!H23)=1,Entrants!H23&gt;1000),Entrants!H23="Y"),Entrants!H23,0)</f>
        <v>0</v>
      </c>
      <c r="I10" s="347" t="str">
        <f>UPPER(Entrants!J23)</f>
        <v/>
      </c>
      <c r="J10" s="347" t="str">
        <f>IF(Entrants!E23="F","F","")</f>
        <v/>
      </c>
      <c r="K10" s="347" t="str">
        <f>IF(Entrants!F23="L","L","")</f>
        <v/>
      </c>
      <c r="L10" s="347" t="str">
        <f>IF(Entrants!K23="R",TRUE,"")</f>
        <v/>
      </c>
      <c r="M10" s="347" t="str">
        <f>IF(Entrants!L23="X",TRUE,"")</f>
        <v/>
      </c>
      <c r="N10" s="347" t="str">
        <f>IF(Entrants!L23="N",TRUE,"")</f>
        <v/>
      </c>
      <c r="O10" s="349" t="str">
        <f>IF(Entrants!D23="","",Entrants!D23)</f>
        <v/>
      </c>
      <c r="P10" s="347" t="str">
        <f>IF(COUNTBLANK(Entrants!B23)=0,INT(Entrants!AD23),"")</f>
        <v/>
      </c>
      <c r="Q10" s="347" t="str">
        <f>IF(COUNTBLANK(Entrants!B23)=1,"",IF(P10&lt;14,"J","S"))</f>
        <v/>
      </c>
      <c r="R10" s="347" t="str">
        <f>IF(Entrants!B23="","",IF(Entrants!L23="n","PKEF",IF(Entrants!L23="x","K",TRUE)))</f>
        <v/>
      </c>
      <c r="S10" s="347" t="str">
        <f>IF(LEFT(Entrants!M23,1)="Y",TRUE,"")</f>
        <v/>
      </c>
      <c r="T10" s="347" t="str">
        <f>IF(LEFT(Entrants!N23,1)="Y",TRUE,"")</f>
        <v/>
      </c>
      <c r="U10" s="347" t="str">
        <f>IF(LEFT(Entrants!O23,1)="Y",TRUE,"")</f>
        <v/>
      </c>
      <c r="V10" s="347" t="str">
        <f>IF(LEFT(Entrants!P23,1)="Y",TRUE,"")</f>
        <v/>
      </c>
      <c r="W10" s="347" t="str">
        <f>IF(LEFT(Entrants!Q23,1)="Y",TRUE,"")</f>
        <v/>
      </c>
      <c r="X10" s="347" t="str">
        <f>IF(Entrants!S23="Open",TRUE,"")</f>
        <v/>
      </c>
      <c r="Y10" s="347" t="str">
        <f>IF(Entrants!S23="Sporter",TRUE,"")</f>
        <v/>
      </c>
      <c r="Z10" s="347" t="str">
        <f>IF(COUNTBLANK(Entrants!U23)=1,"",PROPER(Entrants!U23))</f>
        <v/>
      </c>
      <c r="AA10" s="347" t="str">
        <f>IF(LEFT(Entrants!R23)="Y",TRUE,"")</f>
        <v/>
      </c>
      <c r="AB10" s="347" t="str">
        <f>IF(Entrants!V23="Y",TRUE,"")</f>
        <v/>
      </c>
      <c r="AC10" s="347" t="str">
        <f>IF(LEFT(Entrants!W23)="Y",TRUE,"")</f>
        <v/>
      </c>
      <c r="AD10" s="347" t="str">
        <f>IF(Entrants!X23="A",TRUE,"")</f>
        <v/>
      </c>
      <c r="AE10" s="347" t="str">
        <f>IF(Entrants!X23="B",TRUE,"")</f>
        <v/>
      </c>
      <c r="AF10" s="347" t="str">
        <f>IF(Entrants!Y23="A",TRUE,"")</f>
        <v/>
      </c>
      <c r="AG10" s="347" t="str">
        <f>IF(Entrants!Y23="B",TRUE,"")</f>
        <v/>
      </c>
      <c r="AH10" s="347" t="str">
        <f>IF(Entrants!Y23="X",TRUE,"")</f>
        <v/>
      </c>
      <c r="AI10" s="347" t="str">
        <f>IF(Entrants!M23="Y","",IF(Entrants!M23="","",IF(ISERROR(VLOOKUP( Entrants!M23, Entrants!$Q$144:$Q$161,1,FALSE)),(Entrants!M23),"")))</f>
        <v/>
      </c>
      <c r="AJ10" s="347" t="str">
        <f>IF(Entrants!N23="Y","",IF(Entrants!N23="","",IF(ISERROR(VLOOKUP( Entrants!N23, Entrants!$Q$144:$Q$161,1,FALSE)),(Entrants!N23),"")))</f>
        <v/>
      </c>
      <c r="AK10" s="347" t="str">
        <f>IF(Entrants!O23="Y","",IF(Entrants!O23="","",IF(ISERROR(VLOOKUP( Entrants!O23, Entrants!$Q$144:$Q$161,1,FALSE)),(Entrants!O23),"")))</f>
        <v/>
      </c>
      <c r="AL10" s="347" t="str">
        <f>IF(Entrants!P23="Y","",IF(Entrants!P23="","",IF(ISERROR(VLOOKUP( Entrants!P23, Entrants!$Q$144:$Q$161,1,FALSE)),(Entrants!P23),"")))</f>
        <v/>
      </c>
      <c r="AM10" s="347" t="str">
        <f>IF(Entrants!Q23="Y","",IF(Entrants!Q23="","",IF(ISERROR(VLOOKUP( Entrants!Q23, Entrants!$Q$144:$Q$161,1,FALSE)),(Entrants!Q23),"")))</f>
        <v/>
      </c>
      <c r="AN10" s="347" t="str">
        <f>IF(LEN(Entrants!R23)&gt;1,Entrants!R23,"")</f>
        <v/>
      </c>
      <c r="AO10" s="347" t="str">
        <f>IF(Entrants!T23="Y","",IF(Entrants!T23="","",IF(ISERROR(VLOOKUP( Entrants!T23, Entrants!$Q$144:$Q$161,1,FALSE)),(Entrants!T23),"")))</f>
        <v/>
      </c>
      <c r="AP10" s="347" t="str">
        <f>IF(LEN(Entrants!V23)&gt;1,Entrants!V23,"")</f>
        <v/>
      </c>
      <c r="AQ10" s="421" t="str">
        <f>Entrants!BH23</f>
        <v/>
      </c>
      <c r="AR10" s="424"/>
      <c r="AS10" s="424"/>
      <c r="AT10" s="424"/>
    </row>
    <row r="11" spans="1:46" s="347" customFormat="1" x14ac:dyDescent="0.25">
      <c r="B11" s="347">
        <f>IF(COUNTBLANK(Entrants!B24)=0,'Team Data'!A$2,0)</f>
        <v>0</v>
      </c>
      <c r="C11" s="347">
        <f>IF(COUNTBLANK(Entrants!B24)=0,Group!$B$8,0)</f>
        <v>0</v>
      </c>
      <c r="E11" s="347" t="str">
        <f>IF(TRIM(PROPER(Entrants!B24))="Zoe","Zoë",TRIM(PROPER(Entrants!B24)))</f>
        <v/>
      </c>
      <c r="F11" s="347" t="str">
        <f>TRIM(PROPER(Entrants!C24))</f>
        <v/>
      </c>
      <c r="G11" s="347">
        <f>IF(AND(Entrants!G24&gt;0,Entrants!G24&lt;1000000000),Entrants!G24,0)</f>
        <v>0</v>
      </c>
      <c r="H11" s="347">
        <f>IF(OR(AND(TYPE(Entrants!H24)=1,Entrants!H24&gt;1000),Entrants!H24="Y"),Entrants!H24,0)</f>
        <v>0</v>
      </c>
      <c r="I11" s="347" t="str">
        <f>UPPER(Entrants!J24)</f>
        <v/>
      </c>
      <c r="J11" s="347" t="str">
        <f>IF(Entrants!E24="F","F","")</f>
        <v/>
      </c>
      <c r="K11" s="347" t="str">
        <f>IF(Entrants!F24="L","L","")</f>
        <v/>
      </c>
      <c r="L11" s="347" t="str">
        <f>IF(Entrants!K24="R",TRUE,"")</f>
        <v/>
      </c>
      <c r="M11" s="347" t="str">
        <f>IF(Entrants!L24="X",TRUE,"")</f>
        <v/>
      </c>
      <c r="N11" s="347" t="str">
        <f>IF(Entrants!L24="N",TRUE,"")</f>
        <v/>
      </c>
      <c r="O11" s="349" t="str">
        <f>IF(Entrants!D24="","",Entrants!D24)</f>
        <v/>
      </c>
      <c r="P11" s="347" t="str">
        <f>IF(COUNTBLANK(Entrants!B24)=0,INT(Entrants!AD24),"")</f>
        <v/>
      </c>
      <c r="Q11" s="347" t="str">
        <f>IF(COUNTBLANK(Entrants!B24)=1,"",IF(P11&lt;14,"J","S"))</f>
        <v/>
      </c>
      <c r="R11" s="347" t="str">
        <f>IF(Entrants!B24="","",IF(Entrants!L24="n","PKEF",IF(Entrants!L24="x","K",TRUE)))</f>
        <v/>
      </c>
      <c r="S11" s="347" t="str">
        <f>IF(LEFT(Entrants!M24,1)="Y",TRUE,"")</f>
        <v/>
      </c>
      <c r="T11" s="347" t="str">
        <f>IF(LEFT(Entrants!N24,1)="Y",TRUE,"")</f>
        <v/>
      </c>
      <c r="U11" s="347" t="str">
        <f>IF(LEFT(Entrants!O24,1)="Y",TRUE,"")</f>
        <v/>
      </c>
      <c r="V11" s="347" t="str">
        <f>IF(LEFT(Entrants!P24,1)="Y",TRUE,"")</f>
        <v/>
      </c>
      <c r="W11" s="347" t="str">
        <f>IF(LEFT(Entrants!Q24,1)="Y",TRUE,"")</f>
        <v/>
      </c>
      <c r="X11" s="347" t="str">
        <f>IF(Entrants!S24="Open",TRUE,"")</f>
        <v/>
      </c>
      <c r="Y11" s="347" t="str">
        <f>IF(Entrants!S24="Sporter",TRUE,"")</f>
        <v/>
      </c>
      <c r="Z11" s="347" t="str">
        <f>IF(COUNTBLANK(Entrants!U24)=1,"",PROPER(Entrants!U24))</f>
        <v/>
      </c>
      <c r="AA11" s="347" t="str">
        <f>IF(LEFT(Entrants!R24)="Y",TRUE,"")</f>
        <v/>
      </c>
      <c r="AB11" s="347" t="str">
        <f>IF(Entrants!V24="Y",TRUE,"")</f>
        <v/>
      </c>
      <c r="AC11" s="347" t="str">
        <f>IF(LEFT(Entrants!W24)="Y",TRUE,"")</f>
        <v/>
      </c>
      <c r="AD11" s="347" t="str">
        <f>IF(Entrants!X24="A",TRUE,"")</f>
        <v/>
      </c>
      <c r="AE11" s="347" t="str">
        <f>IF(Entrants!X24="B",TRUE,"")</f>
        <v/>
      </c>
      <c r="AF11" s="347" t="str">
        <f>IF(Entrants!Y24="A",TRUE,"")</f>
        <v/>
      </c>
      <c r="AG11" s="347" t="str">
        <f>IF(Entrants!Y24="B",TRUE,"")</f>
        <v/>
      </c>
      <c r="AH11" s="347" t="str">
        <f>IF(Entrants!Y24="X",TRUE,"")</f>
        <v/>
      </c>
      <c r="AI11" s="347" t="str">
        <f>IF(Entrants!M24="Y","",IF(Entrants!M24="","",IF(ISERROR(VLOOKUP( Entrants!M24, Entrants!$Q$144:$Q$161,1,FALSE)),(Entrants!M24),"")))</f>
        <v/>
      </c>
      <c r="AJ11" s="347" t="str">
        <f>IF(Entrants!N24="Y","",IF(Entrants!N24="","",IF(ISERROR(VLOOKUP( Entrants!N24, Entrants!$Q$144:$Q$161,1,FALSE)),(Entrants!N24),"")))</f>
        <v/>
      </c>
      <c r="AK11" s="347" t="str">
        <f>IF(Entrants!O24="Y","",IF(Entrants!O24="","",IF(ISERROR(VLOOKUP( Entrants!O24, Entrants!$Q$144:$Q$161,1,FALSE)),(Entrants!O24),"")))</f>
        <v/>
      </c>
      <c r="AL11" s="347" t="str">
        <f>IF(Entrants!P24="Y","",IF(Entrants!P24="","",IF(ISERROR(VLOOKUP( Entrants!P24, Entrants!$Q$144:$Q$161,1,FALSE)),(Entrants!P24),"")))</f>
        <v/>
      </c>
      <c r="AM11" s="347" t="str">
        <f>IF(Entrants!Q24="Y","",IF(Entrants!Q24="","",IF(ISERROR(VLOOKUP( Entrants!Q24, Entrants!$Q$144:$Q$161,1,FALSE)),(Entrants!Q24),"")))</f>
        <v/>
      </c>
      <c r="AN11" s="347" t="str">
        <f>IF(LEN(Entrants!R24)&gt;1,Entrants!R24,"")</f>
        <v/>
      </c>
      <c r="AO11" s="347" t="str">
        <f>IF(Entrants!T24="Y","",IF(Entrants!T24="","",IF(ISERROR(VLOOKUP( Entrants!T24, Entrants!$Q$144:$Q$161,1,FALSE)),(Entrants!T24),"")))</f>
        <v/>
      </c>
      <c r="AP11" s="347" t="str">
        <f>IF(LEN(Entrants!V24)&gt;1,Entrants!V24,"")</f>
        <v/>
      </c>
      <c r="AQ11" s="421" t="str">
        <f>Entrants!BH24</f>
        <v/>
      </c>
      <c r="AR11" s="424"/>
      <c r="AS11" s="424"/>
      <c r="AT11" s="424"/>
    </row>
    <row r="12" spans="1:46" s="347" customFormat="1" x14ac:dyDescent="0.25">
      <c r="B12" s="347">
        <f>IF(COUNTBLANK(Entrants!B25)=0,'Team Data'!A$2,0)</f>
        <v>0</v>
      </c>
      <c r="C12" s="347">
        <f>IF(COUNTBLANK(Entrants!B25)=0,Group!$B$8,0)</f>
        <v>0</v>
      </c>
      <c r="E12" s="347" t="str">
        <f>IF(TRIM(PROPER(Entrants!B25))="Zoe","Zoë",TRIM(PROPER(Entrants!B25)))</f>
        <v/>
      </c>
      <c r="F12" s="347" t="str">
        <f>TRIM(PROPER(Entrants!C25))</f>
        <v/>
      </c>
      <c r="G12" s="347">
        <f>IF(AND(Entrants!G25&gt;0,Entrants!G25&lt;1000000000),Entrants!G25,0)</f>
        <v>0</v>
      </c>
      <c r="H12" s="347">
        <f>IF(OR(AND(TYPE(Entrants!H25)=1,Entrants!H25&gt;1000),Entrants!H25="Y"),Entrants!H25,0)</f>
        <v>0</v>
      </c>
      <c r="I12" s="347" t="str">
        <f>UPPER(Entrants!J25)</f>
        <v/>
      </c>
      <c r="J12" s="347" t="str">
        <f>IF(Entrants!E25="F","F","")</f>
        <v/>
      </c>
      <c r="K12" s="347" t="str">
        <f>IF(Entrants!F25="L","L","")</f>
        <v/>
      </c>
      <c r="L12" s="347" t="str">
        <f>IF(Entrants!K25="R",TRUE,"")</f>
        <v/>
      </c>
      <c r="M12" s="347" t="str">
        <f>IF(Entrants!L25="X",TRUE,"")</f>
        <v/>
      </c>
      <c r="N12" s="347" t="str">
        <f>IF(Entrants!L25="N",TRUE,"")</f>
        <v/>
      </c>
      <c r="O12" s="349" t="str">
        <f>IF(Entrants!D25="","",Entrants!D25)</f>
        <v/>
      </c>
      <c r="P12" s="347" t="str">
        <f>IF(COUNTBLANK(Entrants!B25)=0,INT(Entrants!AD25),"")</f>
        <v/>
      </c>
      <c r="Q12" s="347" t="str">
        <f>IF(COUNTBLANK(Entrants!B25)=1,"",IF(P12&lt;14,"J","S"))</f>
        <v/>
      </c>
      <c r="R12" s="347" t="str">
        <f>IF(Entrants!B25="","",IF(Entrants!L25="n","PKEF",IF(Entrants!L25="x","K",TRUE)))</f>
        <v/>
      </c>
      <c r="S12" s="347" t="str">
        <f>IF(LEFT(Entrants!M25,1)="Y",TRUE,"")</f>
        <v/>
      </c>
      <c r="T12" s="347" t="str">
        <f>IF(LEFT(Entrants!N25,1)="Y",TRUE,"")</f>
        <v/>
      </c>
      <c r="U12" s="347" t="str">
        <f>IF(LEFT(Entrants!O25,1)="Y",TRUE,"")</f>
        <v/>
      </c>
      <c r="V12" s="347" t="str">
        <f>IF(LEFT(Entrants!P25,1)="Y",TRUE,"")</f>
        <v/>
      </c>
      <c r="W12" s="347" t="str">
        <f>IF(LEFT(Entrants!Q25,1)="Y",TRUE,"")</f>
        <v/>
      </c>
      <c r="X12" s="347" t="str">
        <f>IF(Entrants!S25="Open",TRUE,"")</f>
        <v/>
      </c>
      <c r="Y12" s="347" t="str">
        <f>IF(Entrants!S25="Sporter",TRUE,"")</f>
        <v/>
      </c>
      <c r="Z12" s="347" t="str">
        <f>IF(COUNTBLANK(Entrants!U25)=1,"",PROPER(Entrants!U25))</f>
        <v/>
      </c>
      <c r="AA12" s="347" t="str">
        <f>IF(LEFT(Entrants!R25)="Y",TRUE,"")</f>
        <v/>
      </c>
      <c r="AB12" s="347" t="str">
        <f>IF(Entrants!V25="Y",TRUE,"")</f>
        <v/>
      </c>
      <c r="AC12" s="347" t="str">
        <f>IF(LEFT(Entrants!W25)="Y",TRUE,"")</f>
        <v/>
      </c>
      <c r="AD12" s="347" t="str">
        <f>IF(Entrants!X25="A",TRUE,"")</f>
        <v/>
      </c>
      <c r="AE12" s="347" t="str">
        <f>IF(Entrants!X25="B",TRUE,"")</f>
        <v/>
      </c>
      <c r="AF12" s="347" t="str">
        <f>IF(Entrants!Y25="A",TRUE,"")</f>
        <v/>
      </c>
      <c r="AG12" s="347" t="str">
        <f>IF(Entrants!Y25="B",TRUE,"")</f>
        <v/>
      </c>
      <c r="AH12" s="347" t="str">
        <f>IF(Entrants!Y25="X",TRUE,"")</f>
        <v/>
      </c>
      <c r="AI12" s="347" t="str">
        <f>IF(Entrants!M25="Y","",IF(Entrants!M25="","",IF(ISERROR(VLOOKUP( Entrants!M25, Entrants!$Q$144:$Q$161,1,FALSE)),(Entrants!M25),"")))</f>
        <v/>
      </c>
      <c r="AJ12" s="347" t="str">
        <f>IF(Entrants!N25="Y","",IF(Entrants!N25="","",IF(ISERROR(VLOOKUP( Entrants!N25, Entrants!$Q$144:$Q$161,1,FALSE)),(Entrants!N25),"")))</f>
        <v/>
      </c>
      <c r="AK12" s="347" t="str">
        <f>IF(Entrants!O25="Y","",IF(Entrants!O25="","",IF(ISERROR(VLOOKUP( Entrants!O25, Entrants!$Q$144:$Q$161,1,FALSE)),(Entrants!O25),"")))</f>
        <v/>
      </c>
      <c r="AL12" s="347" t="str">
        <f>IF(Entrants!P25="Y","",IF(Entrants!P25="","",IF(ISERROR(VLOOKUP( Entrants!P25, Entrants!$Q$144:$Q$161,1,FALSE)),(Entrants!P25),"")))</f>
        <v/>
      </c>
      <c r="AM12" s="347" t="str">
        <f>IF(Entrants!Q25="Y","",IF(Entrants!Q25="","",IF(ISERROR(VLOOKUP( Entrants!Q25, Entrants!$Q$144:$Q$161,1,FALSE)),(Entrants!Q25),"")))</f>
        <v/>
      </c>
      <c r="AN12" s="347" t="str">
        <f>IF(LEN(Entrants!R25)&gt;1,Entrants!R25,"")</f>
        <v/>
      </c>
      <c r="AO12" s="347" t="str">
        <f>IF(Entrants!T25="Y","",IF(Entrants!T25="","",IF(ISERROR(VLOOKUP( Entrants!T25, Entrants!$Q$144:$Q$161,1,FALSE)),(Entrants!T25),"")))</f>
        <v/>
      </c>
      <c r="AP12" s="347" t="str">
        <f>IF(LEN(Entrants!V25)&gt;1,Entrants!V25,"")</f>
        <v/>
      </c>
      <c r="AQ12" s="421" t="str">
        <f>Entrants!BH25</f>
        <v/>
      </c>
      <c r="AR12" s="424"/>
      <c r="AS12" s="424"/>
      <c r="AT12" s="424"/>
    </row>
    <row r="13" spans="1:46" s="347" customFormat="1" x14ac:dyDescent="0.25">
      <c r="B13" s="347">
        <f>IF(COUNTBLANK(Entrants!B26)=0,'Team Data'!A$2,0)</f>
        <v>0</v>
      </c>
      <c r="C13" s="347">
        <f>IF(COUNTBLANK(Entrants!B26)=0,Group!$B$8,0)</f>
        <v>0</v>
      </c>
      <c r="E13" s="347" t="str">
        <f>IF(TRIM(PROPER(Entrants!B26))="Zoe","Zoë",TRIM(PROPER(Entrants!B26)))</f>
        <v/>
      </c>
      <c r="F13" s="347" t="str">
        <f>TRIM(PROPER(Entrants!C26))</f>
        <v/>
      </c>
      <c r="G13" s="347">
        <f>IF(AND(Entrants!G26&gt;0,Entrants!G26&lt;1000000000),Entrants!G26,0)</f>
        <v>0</v>
      </c>
      <c r="H13" s="347">
        <f>IF(OR(AND(TYPE(Entrants!H26)=1,Entrants!H26&gt;1000),Entrants!H26="Y"),Entrants!H26,0)</f>
        <v>0</v>
      </c>
      <c r="I13" s="347" t="str">
        <f>UPPER(Entrants!J26)</f>
        <v/>
      </c>
      <c r="J13" s="347" t="str">
        <f>IF(Entrants!E26="F","F","")</f>
        <v/>
      </c>
      <c r="K13" s="347" t="str">
        <f>IF(Entrants!F26="L","L","")</f>
        <v/>
      </c>
      <c r="L13" s="347" t="str">
        <f>IF(Entrants!K26="R",TRUE,"")</f>
        <v/>
      </c>
      <c r="M13" s="347" t="str">
        <f>IF(Entrants!L26="X",TRUE,"")</f>
        <v/>
      </c>
      <c r="N13" s="347" t="str">
        <f>IF(Entrants!L26="N",TRUE,"")</f>
        <v/>
      </c>
      <c r="O13" s="349" t="str">
        <f>IF(Entrants!D26="","",Entrants!D26)</f>
        <v/>
      </c>
      <c r="P13" s="347" t="str">
        <f>IF(COUNTBLANK(Entrants!B26)=0,INT(Entrants!AD26),"")</f>
        <v/>
      </c>
      <c r="Q13" s="347" t="str">
        <f>IF(COUNTBLANK(Entrants!B26)=1,"",IF(P13&lt;14,"J","S"))</f>
        <v/>
      </c>
      <c r="R13" s="347" t="str">
        <f>IF(Entrants!B26="","",IF(Entrants!L26="n","PKEF",IF(Entrants!L26="x","K",TRUE)))</f>
        <v/>
      </c>
      <c r="S13" s="347" t="str">
        <f>IF(LEFT(Entrants!M26,1)="Y",TRUE,"")</f>
        <v/>
      </c>
      <c r="T13" s="347" t="str">
        <f>IF(LEFT(Entrants!N26,1)="Y",TRUE,"")</f>
        <v/>
      </c>
      <c r="U13" s="347" t="str">
        <f>IF(LEFT(Entrants!O26,1)="Y",TRUE,"")</f>
        <v/>
      </c>
      <c r="V13" s="347" t="str">
        <f>IF(LEFT(Entrants!P26,1)="Y",TRUE,"")</f>
        <v/>
      </c>
      <c r="W13" s="347" t="str">
        <f>IF(LEFT(Entrants!Q26,1)="Y",TRUE,"")</f>
        <v/>
      </c>
      <c r="X13" s="347" t="str">
        <f>IF(Entrants!S26="Open",TRUE,"")</f>
        <v/>
      </c>
      <c r="Y13" s="347" t="str">
        <f>IF(Entrants!S26="Sporter",TRUE,"")</f>
        <v/>
      </c>
      <c r="Z13" s="347" t="str">
        <f>IF(COUNTBLANK(Entrants!U26)=1,"",PROPER(Entrants!U26))</f>
        <v/>
      </c>
      <c r="AA13" s="347" t="str">
        <f>IF(LEFT(Entrants!R26)="Y",TRUE,"")</f>
        <v/>
      </c>
      <c r="AB13" s="347" t="str">
        <f>IF(Entrants!V26="Y",TRUE,"")</f>
        <v/>
      </c>
      <c r="AC13" s="347" t="str">
        <f>IF(LEFT(Entrants!W26)="Y",TRUE,"")</f>
        <v/>
      </c>
      <c r="AD13" s="347" t="str">
        <f>IF(Entrants!X26="A",TRUE,"")</f>
        <v/>
      </c>
      <c r="AE13" s="347" t="str">
        <f>IF(Entrants!X26="B",TRUE,"")</f>
        <v/>
      </c>
      <c r="AF13" s="347" t="str">
        <f>IF(Entrants!Y26="A",TRUE,"")</f>
        <v/>
      </c>
      <c r="AG13" s="347" t="str">
        <f>IF(Entrants!Y26="B",TRUE,"")</f>
        <v/>
      </c>
      <c r="AH13" s="347" t="str">
        <f>IF(Entrants!Y26="X",TRUE,"")</f>
        <v/>
      </c>
      <c r="AI13" s="347" t="str">
        <f>IF(Entrants!M26="Y","",IF(Entrants!M26="","",IF(ISERROR(VLOOKUP( Entrants!M26, Entrants!$Q$144:$Q$161,1,FALSE)),(Entrants!M26),"")))</f>
        <v/>
      </c>
      <c r="AJ13" s="347" t="str">
        <f>IF(Entrants!N26="Y","",IF(Entrants!N26="","",IF(ISERROR(VLOOKUP( Entrants!N26, Entrants!$Q$144:$Q$161,1,FALSE)),(Entrants!N26),"")))</f>
        <v/>
      </c>
      <c r="AK13" s="347" t="str">
        <f>IF(Entrants!O26="Y","",IF(Entrants!O26="","",IF(ISERROR(VLOOKUP( Entrants!O26, Entrants!$Q$144:$Q$161,1,FALSE)),(Entrants!O26),"")))</f>
        <v/>
      </c>
      <c r="AL13" s="347" t="str">
        <f>IF(Entrants!P26="Y","",IF(Entrants!P26="","",IF(ISERROR(VLOOKUP( Entrants!P26, Entrants!$Q$144:$Q$161,1,FALSE)),(Entrants!P26),"")))</f>
        <v/>
      </c>
      <c r="AM13" s="347" t="str">
        <f>IF(Entrants!Q26="Y","",IF(Entrants!Q26="","",IF(ISERROR(VLOOKUP( Entrants!Q26, Entrants!$Q$144:$Q$161,1,FALSE)),(Entrants!Q26),"")))</f>
        <v/>
      </c>
      <c r="AN13" s="347" t="str">
        <f>IF(LEN(Entrants!R26)&gt;1,Entrants!R26,"")</f>
        <v/>
      </c>
      <c r="AO13" s="347" t="str">
        <f>IF(Entrants!T26="Y","",IF(Entrants!T26="","",IF(ISERROR(VLOOKUP( Entrants!T26, Entrants!$Q$144:$Q$161,1,FALSE)),(Entrants!T26),"")))</f>
        <v/>
      </c>
      <c r="AP13" s="347" t="str">
        <f>IF(LEN(Entrants!V26)&gt;1,Entrants!V26,"")</f>
        <v/>
      </c>
      <c r="AQ13" s="421" t="str">
        <f>Entrants!BH26</f>
        <v/>
      </c>
      <c r="AR13" s="424"/>
      <c r="AS13" s="424"/>
      <c r="AT13" s="424"/>
    </row>
    <row r="14" spans="1:46" s="347" customFormat="1" x14ac:dyDescent="0.25">
      <c r="B14" s="347">
        <f>IF(COUNTBLANK(Entrants!B27)=0,'Team Data'!A$2,0)</f>
        <v>0</v>
      </c>
      <c r="C14" s="347">
        <f>IF(COUNTBLANK(Entrants!B27)=0,Group!$B$8,0)</f>
        <v>0</v>
      </c>
      <c r="E14" s="347" t="str">
        <f>IF(TRIM(PROPER(Entrants!B27))="Zoe","Zoë",TRIM(PROPER(Entrants!B27)))</f>
        <v/>
      </c>
      <c r="F14" s="347" t="str">
        <f>TRIM(PROPER(Entrants!C27))</f>
        <v/>
      </c>
      <c r="G14" s="347">
        <f>IF(AND(Entrants!G27&gt;0,Entrants!G27&lt;1000000000),Entrants!G27,0)</f>
        <v>0</v>
      </c>
      <c r="H14" s="347">
        <f>IF(OR(AND(TYPE(Entrants!H27)=1,Entrants!H27&gt;1000),Entrants!H27="Y"),Entrants!H27,0)</f>
        <v>0</v>
      </c>
      <c r="I14" s="347" t="str">
        <f>UPPER(Entrants!J27)</f>
        <v/>
      </c>
      <c r="J14" s="347" t="str">
        <f>IF(Entrants!E27="F","F","")</f>
        <v/>
      </c>
      <c r="K14" s="347" t="str">
        <f>IF(Entrants!F27="L","L","")</f>
        <v/>
      </c>
      <c r="L14" s="347" t="str">
        <f>IF(Entrants!K27="R",TRUE,"")</f>
        <v/>
      </c>
      <c r="M14" s="347" t="str">
        <f>IF(Entrants!L27="X",TRUE,"")</f>
        <v/>
      </c>
      <c r="N14" s="347" t="str">
        <f>IF(Entrants!L27="N",TRUE,"")</f>
        <v/>
      </c>
      <c r="O14" s="349" t="str">
        <f>IF(Entrants!D27="","",Entrants!D27)</f>
        <v/>
      </c>
      <c r="P14" s="347" t="str">
        <f>IF(COUNTBLANK(Entrants!B27)=0,INT(Entrants!AD27),"")</f>
        <v/>
      </c>
      <c r="Q14" s="347" t="str">
        <f>IF(COUNTBLANK(Entrants!B27)=1,"",IF(P14&lt;14,"J","S"))</f>
        <v/>
      </c>
      <c r="R14" s="347" t="str">
        <f>IF(Entrants!B27="","",IF(Entrants!L27="n","PKEF",IF(Entrants!L27="x","K",TRUE)))</f>
        <v/>
      </c>
      <c r="S14" s="347" t="str">
        <f>IF(LEFT(Entrants!M27,1)="Y",TRUE,"")</f>
        <v/>
      </c>
      <c r="T14" s="347" t="str">
        <f>IF(LEFT(Entrants!N27,1)="Y",TRUE,"")</f>
        <v/>
      </c>
      <c r="U14" s="347" t="str">
        <f>IF(LEFT(Entrants!O27,1)="Y",TRUE,"")</f>
        <v/>
      </c>
      <c r="V14" s="347" t="str">
        <f>IF(LEFT(Entrants!P27,1)="Y",TRUE,"")</f>
        <v/>
      </c>
      <c r="W14" s="347" t="str">
        <f>IF(LEFT(Entrants!Q27,1)="Y",TRUE,"")</f>
        <v/>
      </c>
      <c r="X14" s="347" t="str">
        <f>IF(Entrants!S27="Open",TRUE,"")</f>
        <v/>
      </c>
      <c r="Y14" s="347" t="str">
        <f>IF(Entrants!S27="Sporter",TRUE,"")</f>
        <v/>
      </c>
      <c r="Z14" s="347" t="str">
        <f>IF(COUNTBLANK(Entrants!U27)=1,"",PROPER(Entrants!U27))</f>
        <v/>
      </c>
      <c r="AA14" s="347" t="str">
        <f>IF(LEFT(Entrants!R27)="Y",TRUE,"")</f>
        <v/>
      </c>
      <c r="AB14" s="347" t="str">
        <f>IF(Entrants!V27="Y",TRUE,"")</f>
        <v/>
      </c>
      <c r="AC14" s="347" t="str">
        <f>IF(LEFT(Entrants!W27)="Y",TRUE,"")</f>
        <v/>
      </c>
      <c r="AD14" s="347" t="str">
        <f>IF(Entrants!X27="A",TRUE,"")</f>
        <v/>
      </c>
      <c r="AE14" s="347" t="str">
        <f>IF(Entrants!X27="B",TRUE,"")</f>
        <v/>
      </c>
      <c r="AF14" s="347" t="str">
        <f>IF(Entrants!Y27="A",TRUE,"")</f>
        <v/>
      </c>
      <c r="AG14" s="347" t="str">
        <f>IF(Entrants!Y27="B",TRUE,"")</f>
        <v/>
      </c>
      <c r="AH14" s="347" t="str">
        <f>IF(Entrants!Y27="X",TRUE,"")</f>
        <v/>
      </c>
      <c r="AI14" s="347" t="str">
        <f>IF(Entrants!M27="Y","",IF(Entrants!M27="","",IF(ISERROR(VLOOKUP( Entrants!M27, Entrants!$Q$144:$Q$161,1,FALSE)),(Entrants!M27),"")))</f>
        <v/>
      </c>
      <c r="AJ14" s="347" t="str">
        <f>IF(Entrants!N27="Y","",IF(Entrants!N27="","",IF(ISERROR(VLOOKUP( Entrants!N27, Entrants!$Q$144:$Q$161,1,FALSE)),(Entrants!N27),"")))</f>
        <v/>
      </c>
      <c r="AK14" s="347" t="str">
        <f>IF(Entrants!O27="Y","",IF(Entrants!O27="","",IF(ISERROR(VLOOKUP( Entrants!O27, Entrants!$Q$144:$Q$161,1,FALSE)),(Entrants!O27),"")))</f>
        <v/>
      </c>
      <c r="AL14" s="347" t="str">
        <f>IF(Entrants!P27="Y","",IF(Entrants!P27="","",IF(ISERROR(VLOOKUP( Entrants!P27, Entrants!$Q$144:$Q$161,1,FALSE)),(Entrants!P27),"")))</f>
        <v/>
      </c>
      <c r="AM14" s="347" t="str">
        <f>IF(Entrants!Q27="Y","",IF(Entrants!Q27="","",IF(ISERROR(VLOOKUP( Entrants!Q27, Entrants!$Q$144:$Q$161,1,FALSE)),(Entrants!Q27),"")))</f>
        <v/>
      </c>
      <c r="AN14" s="347" t="str">
        <f>IF(LEN(Entrants!R27)&gt;1,Entrants!R27,"")</f>
        <v/>
      </c>
      <c r="AO14" s="347" t="str">
        <f>IF(Entrants!T27="Y","",IF(Entrants!T27="","",IF(ISERROR(VLOOKUP( Entrants!T27, Entrants!$Q$144:$Q$161,1,FALSE)),(Entrants!T27),"")))</f>
        <v/>
      </c>
      <c r="AP14" s="347" t="str">
        <f>IF(LEN(Entrants!V27)&gt;1,Entrants!V27,"")</f>
        <v/>
      </c>
      <c r="AQ14" s="421" t="str">
        <f>Entrants!BH27</f>
        <v/>
      </c>
      <c r="AR14" s="424"/>
      <c r="AS14" s="424"/>
      <c r="AT14" s="424"/>
    </row>
    <row r="15" spans="1:46" s="347" customFormat="1" x14ac:dyDescent="0.25">
      <c r="B15" s="347">
        <f>IF(COUNTBLANK(Entrants!B28)=0,'Team Data'!A$2,0)</f>
        <v>0</v>
      </c>
      <c r="C15" s="347">
        <f>IF(COUNTBLANK(Entrants!B28)=0,Group!$B$8,0)</f>
        <v>0</v>
      </c>
      <c r="E15" s="347" t="str">
        <f>IF(TRIM(PROPER(Entrants!B28))="Zoe","Zoë",TRIM(PROPER(Entrants!B28)))</f>
        <v/>
      </c>
      <c r="F15" s="347" t="str">
        <f>TRIM(PROPER(Entrants!C28))</f>
        <v/>
      </c>
      <c r="G15" s="347">
        <f>IF(AND(Entrants!G28&gt;0,Entrants!G28&lt;1000000000),Entrants!G28,0)</f>
        <v>0</v>
      </c>
      <c r="H15" s="347">
        <f>IF(OR(AND(TYPE(Entrants!H28)=1,Entrants!H28&gt;1000),Entrants!H28="Y"),Entrants!H28,0)</f>
        <v>0</v>
      </c>
      <c r="I15" s="347" t="str">
        <f>UPPER(Entrants!J28)</f>
        <v/>
      </c>
      <c r="J15" s="347" t="str">
        <f>IF(Entrants!E28="F","F","")</f>
        <v/>
      </c>
      <c r="K15" s="347" t="str">
        <f>IF(Entrants!F28="L","L","")</f>
        <v/>
      </c>
      <c r="L15" s="347" t="str">
        <f>IF(Entrants!K28="R",TRUE,"")</f>
        <v/>
      </c>
      <c r="M15" s="347" t="str">
        <f>IF(Entrants!L28="X",TRUE,"")</f>
        <v/>
      </c>
      <c r="N15" s="347" t="str">
        <f>IF(Entrants!L28="N",TRUE,"")</f>
        <v/>
      </c>
      <c r="O15" s="349" t="str">
        <f>IF(Entrants!D28="","",Entrants!D28)</f>
        <v/>
      </c>
      <c r="P15" s="347" t="str">
        <f>IF(COUNTBLANK(Entrants!B28)=0,INT(Entrants!AD28),"")</f>
        <v/>
      </c>
      <c r="Q15" s="347" t="str">
        <f>IF(COUNTBLANK(Entrants!B28)=1,"",IF(P15&lt;14,"J","S"))</f>
        <v/>
      </c>
      <c r="R15" s="347" t="str">
        <f>IF(Entrants!B28="","",IF(Entrants!L28="n","PKEF",IF(Entrants!L28="x","K",TRUE)))</f>
        <v/>
      </c>
      <c r="S15" s="347" t="str">
        <f>IF(LEFT(Entrants!M28,1)="Y",TRUE,"")</f>
        <v/>
      </c>
      <c r="T15" s="347" t="str">
        <f>IF(LEFT(Entrants!N28,1)="Y",TRUE,"")</f>
        <v/>
      </c>
      <c r="U15" s="347" t="str">
        <f>IF(LEFT(Entrants!O28,1)="Y",TRUE,"")</f>
        <v/>
      </c>
      <c r="V15" s="347" t="str">
        <f>IF(LEFT(Entrants!P28,1)="Y",TRUE,"")</f>
        <v/>
      </c>
      <c r="W15" s="347" t="str">
        <f>IF(LEFT(Entrants!Q28,1)="Y",TRUE,"")</f>
        <v/>
      </c>
      <c r="X15" s="347" t="str">
        <f>IF(Entrants!S28="Open",TRUE,"")</f>
        <v/>
      </c>
      <c r="Y15" s="347" t="str">
        <f>IF(Entrants!S28="Sporter",TRUE,"")</f>
        <v/>
      </c>
      <c r="Z15" s="347" t="str">
        <f>IF(COUNTBLANK(Entrants!U28)=1,"",PROPER(Entrants!U28))</f>
        <v/>
      </c>
      <c r="AA15" s="347" t="str">
        <f>IF(LEFT(Entrants!R28)="Y",TRUE,"")</f>
        <v/>
      </c>
      <c r="AB15" s="347" t="str">
        <f>IF(Entrants!V28="Y",TRUE,"")</f>
        <v/>
      </c>
      <c r="AC15" s="347" t="str">
        <f>IF(LEFT(Entrants!W28)="Y",TRUE,"")</f>
        <v/>
      </c>
      <c r="AD15" s="347" t="str">
        <f>IF(Entrants!X28="A",TRUE,"")</f>
        <v/>
      </c>
      <c r="AE15" s="347" t="str">
        <f>IF(Entrants!X28="B",TRUE,"")</f>
        <v/>
      </c>
      <c r="AF15" s="347" t="str">
        <f>IF(Entrants!Y28="A",TRUE,"")</f>
        <v/>
      </c>
      <c r="AG15" s="347" t="str">
        <f>IF(Entrants!Y28="B",TRUE,"")</f>
        <v/>
      </c>
      <c r="AH15" s="347" t="str">
        <f>IF(Entrants!Y28="X",TRUE,"")</f>
        <v/>
      </c>
      <c r="AI15" s="347" t="str">
        <f>IF(Entrants!M28="Y","",IF(Entrants!M28="","",IF(ISERROR(VLOOKUP( Entrants!M28, Entrants!$Q$144:$Q$161,1,FALSE)),(Entrants!M28),"")))</f>
        <v/>
      </c>
      <c r="AJ15" s="347" t="str">
        <f>IF(Entrants!N28="Y","",IF(Entrants!N28="","",IF(ISERROR(VLOOKUP( Entrants!N28, Entrants!$Q$144:$Q$161,1,FALSE)),(Entrants!N28),"")))</f>
        <v/>
      </c>
      <c r="AK15" s="347" t="str">
        <f>IF(Entrants!O28="Y","",IF(Entrants!O28="","",IF(ISERROR(VLOOKUP( Entrants!O28, Entrants!$Q$144:$Q$161,1,FALSE)),(Entrants!O28),"")))</f>
        <v/>
      </c>
      <c r="AL15" s="347" t="str">
        <f>IF(Entrants!P28="Y","",IF(Entrants!P28="","",IF(ISERROR(VLOOKUP( Entrants!P28, Entrants!$Q$144:$Q$161,1,FALSE)),(Entrants!P28),"")))</f>
        <v/>
      </c>
      <c r="AM15" s="347" t="str">
        <f>IF(Entrants!Q28="Y","",IF(Entrants!Q28="","",IF(ISERROR(VLOOKUP( Entrants!Q28, Entrants!$Q$144:$Q$161,1,FALSE)),(Entrants!Q28),"")))</f>
        <v/>
      </c>
      <c r="AN15" s="347" t="str">
        <f>IF(LEN(Entrants!R28)&gt;1,Entrants!R28,"")</f>
        <v/>
      </c>
      <c r="AO15" s="347" t="str">
        <f>IF(Entrants!T28="Y","",IF(Entrants!T28="","",IF(ISERROR(VLOOKUP( Entrants!T28, Entrants!$Q$144:$Q$161,1,FALSE)),(Entrants!T28),"")))</f>
        <v/>
      </c>
      <c r="AP15" s="347" t="str">
        <f>IF(LEN(Entrants!V28)&gt;1,Entrants!V28,"")</f>
        <v/>
      </c>
      <c r="AQ15" s="421" t="str">
        <f>Entrants!BH28</f>
        <v/>
      </c>
      <c r="AR15" s="424"/>
      <c r="AS15" s="424"/>
      <c r="AT15" s="424"/>
    </row>
    <row r="16" spans="1:46" s="347" customFormat="1" x14ac:dyDescent="0.25">
      <c r="B16" s="347">
        <f>IF(COUNTBLANK(Entrants!B29)=0,'Team Data'!A$2,0)</f>
        <v>0</v>
      </c>
      <c r="C16" s="347">
        <f>IF(COUNTBLANK(Entrants!B29)=0,Group!$B$8,0)</f>
        <v>0</v>
      </c>
      <c r="E16" s="347" t="str">
        <f>IF(TRIM(PROPER(Entrants!B29))="Zoe","Zoë",TRIM(PROPER(Entrants!B29)))</f>
        <v/>
      </c>
      <c r="F16" s="347" t="str">
        <f>TRIM(PROPER(Entrants!C29))</f>
        <v/>
      </c>
      <c r="G16" s="347">
        <f>IF(AND(Entrants!G29&gt;0,Entrants!G29&lt;1000000000),Entrants!G29,0)</f>
        <v>0</v>
      </c>
      <c r="H16" s="347">
        <f>IF(OR(AND(TYPE(Entrants!H29)=1,Entrants!H29&gt;1000),Entrants!H29="Y"),Entrants!H29,0)</f>
        <v>0</v>
      </c>
      <c r="I16" s="347" t="str">
        <f>UPPER(Entrants!J29)</f>
        <v/>
      </c>
      <c r="J16" s="347" t="str">
        <f>IF(Entrants!E29="F","F","")</f>
        <v/>
      </c>
      <c r="K16" s="347" t="str">
        <f>IF(Entrants!F29="L","L","")</f>
        <v/>
      </c>
      <c r="L16" s="347" t="str">
        <f>IF(Entrants!K29="R",TRUE,"")</f>
        <v/>
      </c>
      <c r="M16" s="347" t="str">
        <f>IF(Entrants!L29="X",TRUE,"")</f>
        <v/>
      </c>
      <c r="N16" s="347" t="str">
        <f>IF(Entrants!L29="N",TRUE,"")</f>
        <v/>
      </c>
      <c r="O16" s="349" t="str">
        <f>IF(Entrants!D29="","",Entrants!D29)</f>
        <v/>
      </c>
      <c r="P16" s="347" t="str">
        <f>IF(COUNTBLANK(Entrants!B29)=0,INT(Entrants!AD29),"")</f>
        <v/>
      </c>
      <c r="Q16" s="347" t="str">
        <f>IF(COUNTBLANK(Entrants!B29)=1,"",IF(P16&lt;14,"J","S"))</f>
        <v/>
      </c>
      <c r="R16" s="347" t="str">
        <f>IF(Entrants!B29="","",IF(Entrants!L29="n","PKEF",IF(Entrants!L29="x","K",TRUE)))</f>
        <v/>
      </c>
      <c r="S16" s="347" t="str">
        <f>IF(LEFT(Entrants!M29,1)="Y",TRUE,"")</f>
        <v/>
      </c>
      <c r="T16" s="347" t="str">
        <f>IF(LEFT(Entrants!N29,1)="Y",TRUE,"")</f>
        <v/>
      </c>
      <c r="U16" s="347" t="str">
        <f>IF(LEFT(Entrants!O29,1)="Y",TRUE,"")</f>
        <v/>
      </c>
      <c r="V16" s="347" t="str">
        <f>IF(LEFT(Entrants!P29,1)="Y",TRUE,"")</f>
        <v/>
      </c>
      <c r="W16" s="347" t="str">
        <f>IF(LEFT(Entrants!Q29,1)="Y",TRUE,"")</f>
        <v/>
      </c>
      <c r="X16" s="347" t="str">
        <f>IF(Entrants!S29="Open",TRUE,"")</f>
        <v/>
      </c>
      <c r="Y16" s="347" t="str">
        <f>IF(Entrants!S29="Sporter",TRUE,"")</f>
        <v/>
      </c>
      <c r="Z16" s="347" t="str">
        <f>IF(COUNTBLANK(Entrants!U29)=1,"",PROPER(Entrants!U29))</f>
        <v/>
      </c>
      <c r="AA16" s="347" t="str">
        <f>IF(LEFT(Entrants!R29)="Y",TRUE,"")</f>
        <v/>
      </c>
      <c r="AB16" s="347" t="str">
        <f>IF(Entrants!V29="Y",TRUE,"")</f>
        <v/>
      </c>
      <c r="AC16" s="347" t="str">
        <f>IF(LEFT(Entrants!W29)="Y",TRUE,"")</f>
        <v/>
      </c>
      <c r="AD16" s="347" t="str">
        <f>IF(Entrants!X29="A",TRUE,"")</f>
        <v/>
      </c>
      <c r="AE16" s="347" t="str">
        <f>IF(Entrants!X29="B",TRUE,"")</f>
        <v/>
      </c>
      <c r="AF16" s="347" t="str">
        <f>IF(Entrants!Y29="A",TRUE,"")</f>
        <v/>
      </c>
      <c r="AG16" s="347" t="str">
        <f>IF(Entrants!Y29="B",TRUE,"")</f>
        <v/>
      </c>
      <c r="AH16" s="347" t="str">
        <f>IF(Entrants!Y29="X",TRUE,"")</f>
        <v/>
      </c>
      <c r="AI16" s="347" t="str">
        <f>IF(Entrants!M29="Y","",IF(Entrants!M29="","",IF(ISERROR(VLOOKUP( Entrants!M29, Entrants!$Q$144:$Q$161,1,FALSE)),(Entrants!M29),"")))</f>
        <v/>
      </c>
      <c r="AJ16" s="347" t="str">
        <f>IF(Entrants!N29="Y","",IF(Entrants!N29="","",IF(ISERROR(VLOOKUP( Entrants!N29, Entrants!$Q$144:$Q$161,1,FALSE)),(Entrants!N29),"")))</f>
        <v/>
      </c>
      <c r="AK16" s="347" t="str">
        <f>IF(Entrants!O29="Y","",IF(Entrants!O29="","",IF(ISERROR(VLOOKUP( Entrants!O29, Entrants!$Q$144:$Q$161,1,FALSE)),(Entrants!O29),"")))</f>
        <v/>
      </c>
      <c r="AL16" s="347" t="str">
        <f>IF(Entrants!P29="Y","",IF(Entrants!P29="","",IF(ISERROR(VLOOKUP( Entrants!P29, Entrants!$Q$144:$Q$161,1,FALSE)),(Entrants!P29),"")))</f>
        <v/>
      </c>
      <c r="AM16" s="347" t="str">
        <f>IF(Entrants!Q29="Y","",IF(Entrants!Q29="","",IF(ISERROR(VLOOKUP( Entrants!Q29, Entrants!$Q$144:$Q$161,1,FALSE)),(Entrants!Q29),"")))</f>
        <v/>
      </c>
      <c r="AN16" s="347" t="str">
        <f>IF(LEN(Entrants!R29)&gt;1,Entrants!R29,"")</f>
        <v/>
      </c>
      <c r="AO16" s="347" t="str">
        <f>IF(Entrants!T29="Y","",IF(Entrants!T29="","",IF(ISERROR(VLOOKUP( Entrants!T29, Entrants!$Q$144:$Q$161,1,FALSE)),(Entrants!T29),"")))</f>
        <v/>
      </c>
      <c r="AP16" s="347" t="str">
        <f>IF(LEN(Entrants!V29)&gt;1,Entrants!V29,"")</f>
        <v/>
      </c>
      <c r="AQ16" s="421" t="str">
        <f>Entrants!BH29</f>
        <v/>
      </c>
      <c r="AR16" s="424"/>
      <c r="AS16" s="424"/>
      <c r="AT16" s="424"/>
    </row>
    <row r="17" spans="1:46" s="347" customFormat="1" x14ac:dyDescent="0.25">
      <c r="B17" s="347">
        <f>IF(COUNTBLANK(Entrants!B30)=0,'Team Data'!A$2,0)</f>
        <v>0</v>
      </c>
      <c r="C17" s="347">
        <f>IF(COUNTBLANK(Entrants!B30)=0,Group!$B$8,0)</f>
        <v>0</v>
      </c>
      <c r="E17" s="347" t="str">
        <f>IF(TRIM(PROPER(Entrants!B30))="Zoe","Zoë",TRIM(PROPER(Entrants!B30)))</f>
        <v/>
      </c>
      <c r="F17" s="347" t="str">
        <f>TRIM(PROPER(Entrants!C30))</f>
        <v/>
      </c>
      <c r="G17" s="347">
        <f>IF(AND(Entrants!G30&gt;0,Entrants!G30&lt;1000000000),Entrants!G30,0)</f>
        <v>0</v>
      </c>
      <c r="H17" s="347">
        <f>IF(OR(AND(TYPE(Entrants!H30)=1,Entrants!H30&gt;1000),Entrants!H30="Y"),Entrants!H30,0)</f>
        <v>0</v>
      </c>
      <c r="I17" s="347" t="str">
        <f>UPPER(Entrants!J30)</f>
        <v/>
      </c>
      <c r="J17" s="347" t="str">
        <f>IF(Entrants!E30="F","F","")</f>
        <v/>
      </c>
      <c r="K17" s="347" t="str">
        <f>IF(Entrants!F30="L","L","")</f>
        <v/>
      </c>
      <c r="L17" s="347" t="str">
        <f>IF(Entrants!K30="R",TRUE,"")</f>
        <v/>
      </c>
      <c r="M17" s="347" t="str">
        <f>IF(Entrants!L30="X",TRUE,"")</f>
        <v/>
      </c>
      <c r="N17" s="347" t="str">
        <f>IF(Entrants!L30="N",TRUE,"")</f>
        <v/>
      </c>
      <c r="O17" s="349" t="str">
        <f>IF(Entrants!D30="","",Entrants!D30)</f>
        <v/>
      </c>
      <c r="P17" s="347" t="str">
        <f>IF(COUNTBLANK(Entrants!B30)=0,INT(Entrants!AD30),"")</f>
        <v/>
      </c>
      <c r="Q17" s="347" t="str">
        <f>IF(COUNTBLANK(Entrants!B30)=1,"",IF(P17&lt;14,"J","S"))</f>
        <v/>
      </c>
      <c r="R17" s="347" t="str">
        <f>IF(Entrants!B30="","",IF(Entrants!L30="n","PKEF",IF(Entrants!L30="x","K",TRUE)))</f>
        <v/>
      </c>
      <c r="S17" s="347" t="str">
        <f>IF(LEFT(Entrants!M30,1)="Y",TRUE,"")</f>
        <v/>
      </c>
      <c r="T17" s="347" t="str">
        <f>IF(LEFT(Entrants!N30,1)="Y",TRUE,"")</f>
        <v/>
      </c>
      <c r="U17" s="347" t="str">
        <f>IF(LEFT(Entrants!O30,1)="Y",TRUE,"")</f>
        <v/>
      </c>
      <c r="V17" s="347" t="str">
        <f>IF(LEFT(Entrants!P30,1)="Y",TRUE,"")</f>
        <v/>
      </c>
      <c r="W17" s="347" t="str">
        <f>IF(LEFT(Entrants!Q30,1)="Y",TRUE,"")</f>
        <v/>
      </c>
      <c r="X17" s="347" t="str">
        <f>IF(Entrants!S30="Open",TRUE,"")</f>
        <v/>
      </c>
      <c r="Y17" s="347" t="str">
        <f>IF(Entrants!S30="Sporter",TRUE,"")</f>
        <v/>
      </c>
      <c r="Z17" s="347" t="str">
        <f>IF(COUNTBLANK(Entrants!U30)=1,"",PROPER(Entrants!U30))</f>
        <v/>
      </c>
      <c r="AA17" s="347" t="str">
        <f>IF(LEFT(Entrants!R30)="Y",TRUE,"")</f>
        <v/>
      </c>
      <c r="AB17" s="347" t="str">
        <f>IF(Entrants!V30="Y",TRUE,"")</f>
        <v/>
      </c>
      <c r="AC17" s="347" t="str">
        <f>IF(LEFT(Entrants!W30)="Y",TRUE,"")</f>
        <v/>
      </c>
      <c r="AD17" s="347" t="str">
        <f>IF(Entrants!X30="A",TRUE,"")</f>
        <v/>
      </c>
      <c r="AE17" s="347" t="str">
        <f>IF(Entrants!X30="B",TRUE,"")</f>
        <v/>
      </c>
      <c r="AF17" s="347" t="str">
        <f>IF(Entrants!Y30="A",TRUE,"")</f>
        <v/>
      </c>
      <c r="AG17" s="347" t="str">
        <f>IF(Entrants!Y30="B",TRUE,"")</f>
        <v/>
      </c>
      <c r="AH17" s="347" t="str">
        <f>IF(Entrants!Y30="X",TRUE,"")</f>
        <v/>
      </c>
      <c r="AI17" s="347" t="str">
        <f>IF(Entrants!M30="Y","",IF(Entrants!M30="","",IF(ISERROR(VLOOKUP( Entrants!M30, Entrants!$Q$144:$Q$161,1,FALSE)),(Entrants!M30),"")))</f>
        <v/>
      </c>
      <c r="AJ17" s="347" t="str">
        <f>IF(Entrants!N30="Y","",IF(Entrants!N30="","",IF(ISERROR(VLOOKUP( Entrants!N30, Entrants!$Q$144:$Q$161,1,FALSE)),(Entrants!N30),"")))</f>
        <v/>
      </c>
      <c r="AK17" s="347" t="str">
        <f>IF(Entrants!O30="Y","",IF(Entrants!O30="","",IF(ISERROR(VLOOKUP( Entrants!O30, Entrants!$Q$144:$Q$161,1,FALSE)),(Entrants!O30),"")))</f>
        <v/>
      </c>
      <c r="AL17" s="347" t="str">
        <f>IF(Entrants!P30="Y","",IF(Entrants!P30="","",IF(ISERROR(VLOOKUP( Entrants!P30, Entrants!$Q$144:$Q$161,1,FALSE)),(Entrants!P30),"")))</f>
        <v/>
      </c>
      <c r="AM17" s="347" t="str">
        <f>IF(Entrants!Q30="Y","",IF(Entrants!Q30="","",IF(ISERROR(VLOOKUP( Entrants!Q30, Entrants!$Q$144:$Q$161,1,FALSE)),(Entrants!Q30),"")))</f>
        <v/>
      </c>
      <c r="AN17" s="347" t="str">
        <f>IF(LEN(Entrants!R30)&gt;1,Entrants!R30,"")</f>
        <v/>
      </c>
      <c r="AO17" s="347" t="str">
        <f>IF(Entrants!T30="Y","",IF(Entrants!T30="","",IF(ISERROR(VLOOKUP( Entrants!T30, Entrants!$Q$144:$Q$161,1,FALSE)),(Entrants!T30),"")))</f>
        <v/>
      </c>
      <c r="AP17" s="347" t="str">
        <f>IF(LEN(Entrants!V30)&gt;1,Entrants!V30,"")</f>
        <v/>
      </c>
      <c r="AQ17" s="421" t="str">
        <f>Entrants!BH30</f>
        <v/>
      </c>
      <c r="AR17" s="424"/>
      <c r="AS17" s="424"/>
      <c r="AT17" s="424"/>
    </row>
    <row r="18" spans="1:46" s="347" customFormat="1" x14ac:dyDescent="0.25">
      <c r="B18" s="347">
        <f>IF(COUNTBLANK(Entrants!B31)=0,'Team Data'!A$2,0)</f>
        <v>0</v>
      </c>
      <c r="C18" s="347">
        <f>IF(COUNTBLANK(Entrants!B31)=0,Group!$B$8,0)</f>
        <v>0</v>
      </c>
      <c r="E18" s="347" t="str">
        <f>IF(TRIM(PROPER(Entrants!B31))="Zoe","Zoë",TRIM(PROPER(Entrants!B31)))</f>
        <v/>
      </c>
      <c r="F18" s="347" t="str">
        <f>TRIM(PROPER(Entrants!C31))</f>
        <v/>
      </c>
      <c r="G18" s="347">
        <f>IF(AND(Entrants!G31&gt;0,Entrants!G31&lt;1000000000),Entrants!G31,0)</f>
        <v>0</v>
      </c>
      <c r="H18" s="347">
        <f>IF(OR(AND(TYPE(Entrants!H31)=1,Entrants!H31&gt;1000),Entrants!H31="Y"),Entrants!H31,0)</f>
        <v>0</v>
      </c>
      <c r="I18" s="347" t="str">
        <f>UPPER(Entrants!J31)</f>
        <v/>
      </c>
      <c r="J18" s="347" t="str">
        <f>IF(Entrants!E31="F","F","")</f>
        <v/>
      </c>
      <c r="K18" s="347" t="str">
        <f>IF(Entrants!F31="L","L","")</f>
        <v/>
      </c>
      <c r="L18" s="347" t="str">
        <f>IF(Entrants!K31="R",TRUE,"")</f>
        <v/>
      </c>
      <c r="M18" s="347" t="str">
        <f>IF(Entrants!L31="X",TRUE,"")</f>
        <v/>
      </c>
      <c r="N18" s="347" t="str">
        <f>IF(Entrants!L31="N",TRUE,"")</f>
        <v/>
      </c>
      <c r="O18" s="349" t="str">
        <f>IF(Entrants!D31="","",Entrants!D31)</f>
        <v/>
      </c>
      <c r="P18" s="347" t="str">
        <f>IF(COUNTBLANK(Entrants!B31)=0,INT(Entrants!AD31),"")</f>
        <v/>
      </c>
      <c r="Q18" s="347" t="str">
        <f>IF(COUNTBLANK(Entrants!B31)=1,"",IF(P18&lt;14,"J","S"))</f>
        <v/>
      </c>
      <c r="R18" s="347" t="str">
        <f>IF(Entrants!B31="","",IF(Entrants!L31="n","PKEF",IF(Entrants!L31="x","K",TRUE)))</f>
        <v/>
      </c>
      <c r="S18" s="347" t="str">
        <f>IF(LEFT(Entrants!M31,1)="Y",TRUE,"")</f>
        <v/>
      </c>
      <c r="T18" s="347" t="str">
        <f>IF(LEFT(Entrants!N31,1)="Y",TRUE,"")</f>
        <v/>
      </c>
      <c r="U18" s="347" t="str">
        <f>IF(LEFT(Entrants!O31,1)="Y",TRUE,"")</f>
        <v/>
      </c>
      <c r="V18" s="347" t="str">
        <f>IF(LEFT(Entrants!P31,1)="Y",TRUE,"")</f>
        <v/>
      </c>
      <c r="W18" s="347" t="str">
        <f>IF(LEFT(Entrants!Q31,1)="Y",TRUE,"")</f>
        <v/>
      </c>
      <c r="X18" s="347" t="str">
        <f>IF(Entrants!S31="Open",TRUE,"")</f>
        <v/>
      </c>
      <c r="Y18" s="347" t="str">
        <f>IF(Entrants!S31="Sporter",TRUE,"")</f>
        <v/>
      </c>
      <c r="Z18" s="347" t="str">
        <f>IF(COUNTBLANK(Entrants!U31)=1,"",PROPER(Entrants!U31))</f>
        <v/>
      </c>
      <c r="AA18" s="347" t="str">
        <f>IF(LEFT(Entrants!R31)="Y",TRUE,"")</f>
        <v/>
      </c>
      <c r="AB18" s="347" t="str">
        <f>IF(Entrants!V31="Y",TRUE,"")</f>
        <v/>
      </c>
      <c r="AC18" s="347" t="str">
        <f>IF(LEFT(Entrants!W31)="Y",TRUE,"")</f>
        <v/>
      </c>
      <c r="AD18" s="347" t="str">
        <f>IF(Entrants!X31="A",TRUE,"")</f>
        <v/>
      </c>
      <c r="AE18" s="347" t="str">
        <f>IF(Entrants!X31="B",TRUE,"")</f>
        <v/>
      </c>
      <c r="AF18" s="347" t="str">
        <f>IF(Entrants!Y31="A",TRUE,"")</f>
        <v/>
      </c>
      <c r="AG18" s="347" t="str">
        <f>IF(Entrants!Y31="B",TRUE,"")</f>
        <v/>
      </c>
      <c r="AH18" s="347" t="str">
        <f>IF(Entrants!Y31="X",TRUE,"")</f>
        <v/>
      </c>
      <c r="AI18" s="347" t="str">
        <f>IF(Entrants!M31="Y","",IF(Entrants!M31="","",IF(ISERROR(VLOOKUP( Entrants!M31, Entrants!$Q$144:$Q$161,1,FALSE)),(Entrants!M31),"")))</f>
        <v/>
      </c>
      <c r="AJ18" s="347" t="str">
        <f>IF(Entrants!N31="Y","",IF(Entrants!N31="","",IF(ISERROR(VLOOKUP( Entrants!N31, Entrants!$Q$144:$Q$161,1,FALSE)),(Entrants!N31),"")))</f>
        <v/>
      </c>
      <c r="AK18" s="347" t="str">
        <f>IF(Entrants!O31="Y","",IF(Entrants!O31="","",IF(ISERROR(VLOOKUP( Entrants!O31, Entrants!$Q$144:$Q$161,1,FALSE)),(Entrants!O31),"")))</f>
        <v/>
      </c>
      <c r="AL18" s="347" t="str">
        <f>IF(Entrants!P31="Y","",IF(Entrants!P31="","",IF(ISERROR(VLOOKUP( Entrants!P31, Entrants!$Q$144:$Q$161,1,FALSE)),(Entrants!P31),"")))</f>
        <v/>
      </c>
      <c r="AM18" s="347" t="str">
        <f>IF(Entrants!Q31="Y","",IF(Entrants!Q31="","",IF(ISERROR(VLOOKUP( Entrants!Q31, Entrants!$Q$144:$Q$161,1,FALSE)),(Entrants!Q31),"")))</f>
        <v/>
      </c>
      <c r="AN18" s="347" t="str">
        <f>IF(LEN(Entrants!R31)&gt;1,Entrants!R31,"")</f>
        <v/>
      </c>
      <c r="AO18" s="347" t="str">
        <f>IF(Entrants!T31="Y","",IF(Entrants!T31="","",IF(ISERROR(VLOOKUP( Entrants!T31, Entrants!$Q$144:$Q$161,1,FALSE)),(Entrants!T31),"")))</f>
        <v/>
      </c>
      <c r="AP18" s="347" t="str">
        <f>IF(LEN(Entrants!V31)&gt;1,Entrants!V31,"")</f>
        <v/>
      </c>
      <c r="AQ18" s="421" t="str">
        <f>Entrants!BH31</f>
        <v/>
      </c>
      <c r="AR18" s="424"/>
      <c r="AS18" s="424"/>
      <c r="AT18" s="424"/>
    </row>
    <row r="19" spans="1:46" s="347" customFormat="1" x14ac:dyDescent="0.25">
      <c r="B19" s="347">
        <f>IF(COUNTBLANK(Entrants!B32)=0,'Team Data'!A$2,0)</f>
        <v>0</v>
      </c>
      <c r="C19" s="347">
        <f>IF(COUNTBLANK(Entrants!B32)=0,Group!$B$8,0)</f>
        <v>0</v>
      </c>
      <c r="E19" s="347" t="str">
        <f>IF(TRIM(PROPER(Entrants!B32))="Zoe","Zoë",TRIM(PROPER(Entrants!B32)))</f>
        <v/>
      </c>
      <c r="F19" s="347" t="str">
        <f>TRIM(PROPER(Entrants!C32))</f>
        <v/>
      </c>
      <c r="G19" s="347">
        <f>IF(AND(Entrants!G32&gt;0,Entrants!G32&lt;1000000000),Entrants!G32,0)</f>
        <v>0</v>
      </c>
      <c r="H19" s="347">
        <f>IF(OR(AND(TYPE(Entrants!H32)=1,Entrants!H32&gt;1000),Entrants!H32="Y"),Entrants!H32,0)</f>
        <v>0</v>
      </c>
      <c r="I19" s="347" t="str">
        <f>UPPER(Entrants!J32)</f>
        <v/>
      </c>
      <c r="J19" s="347" t="str">
        <f>IF(Entrants!E32="F","F","")</f>
        <v/>
      </c>
      <c r="K19" s="347" t="str">
        <f>IF(Entrants!F32="L","L","")</f>
        <v/>
      </c>
      <c r="L19" s="347" t="str">
        <f>IF(Entrants!K32="R",TRUE,"")</f>
        <v/>
      </c>
      <c r="M19" s="347" t="str">
        <f>IF(Entrants!L32="X",TRUE,"")</f>
        <v/>
      </c>
      <c r="N19" s="347" t="str">
        <f>IF(Entrants!L32="N",TRUE,"")</f>
        <v/>
      </c>
      <c r="O19" s="349" t="str">
        <f>IF(Entrants!D32="","",Entrants!D32)</f>
        <v/>
      </c>
      <c r="P19" s="347" t="str">
        <f>IF(COUNTBLANK(Entrants!B32)=0,INT(Entrants!AD32),"")</f>
        <v/>
      </c>
      <c r="Q19" s="347" t="str">
        <f>IF(COUNTBLANK(Entrants!B32)=1,"",IF(P19&lt;14,"J","S"))</f>
        <v/>
      </c>
      <c r="R19" s="347" t="str">
        <f>IF(Entrants!B32="","",IF(Entrants!L32="n","PKEF",IF(Entrants!L32="x","K",TRUE)))</f>
        <v/>
      </c>
      <c r="S19" s="347" t="str">
        <f>IF(LEFT(Entrants!M32,1)="Y",TRUE,"")</f>
        <v/>
      </c>
      <c r="T19" s="347" t="str">
        <f>IF(LEFT(Entrants!N32,1)="Y",TRUE,"")</f>
        <v/>
      </c>
      <c r="U19" s="347" t="str">
        <f>IF(LEFT(Entrants!O32,1)="Y",TRUE,"")</f>
        <v/>
      </c>
      <c r="V19" s="347" t="str">
        <f>IF(LEFT(Entrants!P32,1)="Y",TRUE,"")</f>
        <v/>
      </c>
      <c r="W19" s="347" t="str">
        <f>IF(LEFT(Entrants!Q32,1)="Y",TRUE,"")</f>
        <v/>
      </c>
      <c r="X19" s="347" t="str">
        <f>IF(Entrants!S32="Open",TRUE,"")</f>
        <v/>
      </c>
      <c r="Y19" s="347" t="str">
        <f>IF(Entrants!S32="Sporter",TRUE,"")</f>
        <v/>
      </c>
      <c r="Z19" s="347" t="str">
        <f>IF(COUNTBLANK(Entrants!U32)=1,"",PROPER(Entrants!U32))</f>
        <v/>
      </c>
      <c r="AA19" s="347" t="str">
        <f>IF(LEFT(Entrants!R32)="Y",TRUE,"")</f>
        <v/>
      </c>
      <c r="AB19" s="347" t="str">
        <f>IF(Entrants!V32="Y",TRUE,"")</f>
        <v/>
      </c>
      <c r="AC19" s="347" t="str">
        <f>IF(LEFT(Entrants!W32)="Y",TRUE,"")</f>
        <v/>
      </c>
      <c r="AD19" s="347" t="str">
        <f>IF(Entrants!X32="A",TRUE,"")</f>
        <v/>
      </c>
      <c r="AE19" s="347" t="str">
        <f>IF(Entrants!X32="B",TRUE,"")</f>
        <v/>
      </c>
      <c r="AF19" s="347" t="str">
        <f>IF(Entrants!Y32="A",TRUE,"")</f>
        <v/>
      </c>
      <c r="AG19" s="347" t="str">
        <f>IF(Entrants!Y32="B",TRUE,"")</f>
        <v/>
      </c>
      <c r="AH19" s="347" t="str">
        <f>IF(Entrants!Y32="X",TRUE,"")</f>
        <v/>
      </c>
      <c r="AI19" s="347" t="str">
        <f>IF(Entrants!M32="Y","",IF(Entrants!M32="","",IF(ISERROR(VLOOKUP( Entrants!M32, Entrants!$Q$144:$Q$161,1,FALSE)),(Entrants!M32),"")))</f>
        <v/>
      </c>
      <c r="AJ19" s="347" t="str">
        <f>IF(Entrants!N32="Y","",IF(Entrants!N32="","",IF(ISERROR(VLOOKUP( Entrants!N32, Entrants!$Q$144:$Q$161,1,FALSE)),(Entrants!N32),"")))</f>
        <v/>
      </c>
      <c r="AK19" s="347" t="str">
        <f>IF(Entrants!O32="Y","",IF(Entrants!O32="","",IF(ISERROR(VLOOKUP( Entrants!O32, Entrants!$Q$144:$Q$161,1,FALSE)),(Entrants!O32),"")))</f>
        <v/>
      </c>
      <c r="AL19" s="347" t="str">
        <f>IF(Entrants!P32="Y","",IF(Entrants!P32="","",IF(ISERROR(VLOOKUP( Entrants!P32, Entrants!$Q$144:$Q$161,1,FALSE)),(Entrants!P32),"")))</f>
        <v/>
      </c>
      <c r="AM19" s="347" t="str">
        <f>IF(Entrants!Q32="Y","",IF(Entrants!Q32="","",IF(ISERROR(VLOOKUP( Entrants!Q32, Entrants!$Q$144:$Q$161,1,FALSE)),(Entrants!Q32),"")))</f>
        <v/>
      </c>
      <c r="AN19" s="347" t="str">
        <f>IF(LEN(Entrants!R32)&gt;1,Entrants!R32,"")</f>
        <v/>
      </c>
      <c r="AO19" s="347" t="str">
        <f>IF(Entrants!T32="Y","",IF(Entrants!T32="","",IF(ISERROR(VLOOKUP( Entrants!T32, Entrants!$Q$144:$Q$161,1,FALSE)),(Entrants!T32),"")))</f>
        <v/>
      </c>
      <c r="AP19" s="347" t="str">
        <f>IF(LEN(Entrants!V32)&gt;1,Entrants!V32,"")</f>
        <v/>
      </c>
      <c r="AQ19" s="421" t="str">
        <f>Entrants!BH32</f>
        <v/>
      </c>
      <c r="AR19" s="424"/>
      <c r="AS19" s="424"/>
      <c r="AT19" s="424"/>
    </row>
    <row r="20" spans="1:46" s="347" customFormat="1" x14ac:dyDescent="0.25">
      <c r="B20" s="347">
        <f>IF(COUNTBLANK(Entrants!B33)=0,'Team Data'!A$2,0)</f>
        <v>0</v>
      </c>
      <c r="C20" s="347">
        <f>IF(COUNTBLANK(Entrants!B33)=0,Group!$B$8,0)</f>
        <v>0</v>
      </c>
      <c r="E20" s="347" t="str">
        <f>IF(TRIM(PROPER(Entrants!B33))="Zoe","Zoë",TRIM(PROPER(Entrants!B33)))</f>
        <v/>
      </c>
      <c r="F20" s="347" t="str">
        <f>TRIM(PROPER(Entrants!C33))</f>
        <v/>
      </c>
      <c r="G20" s="347">
        <f>IF(AND(Entrants!G33&gt;0,Entrants!G33&lt;1000000000),Entrants!G33,0)</f>
        <v>0</v>
      </c>
      <c r="H20" s="347">
        <f>IF(OR(AND(TYPE(Entrants!H33)=1,Entrants!H33&gt;1000),Entrants!H33="Y"),Entrants!H33,0)</f>
        <v>0</v>
      </c>
      <c r="I20" s="347" t="str">
        <f>UPPER(Entrants!J33)</f>
        <v/>
      </c>
      <c r="J20" s="347" t="str">
        <f>IF(Entrants!E33="F","F","")</f>
        <v/>
      </c>
      <c r="K20" s="347" t="str">
        <f>IF(Entrants!F33="L","L","")</f>
        <v/>
      </c>
      <c r="L20" s="347" t="str">
        <f>IF(Entrants!K33="R",TRUE,"")</f>
        <v/>
      </c>
      <c r="M20" s="347" t="str">
        <f>IF(Entrants!L33="X",TRUE,"")</f>
        <v/>
      </c>
      <c r="N20" s="347" t="str">
        <f>IF(Entrants!L33="N",TRUE,"")</f>
        <v/>
      </c>
      <c r="O20" s="349" t="str">
        <f>IF(Entrants!D33="","",Entrants!D33)</f>
        <v/>
      </c>
      <c r="P20" s="347" t="str">
        <f>IF(COUNTBLANK(Entrants!B33)=0,INT(Entrants!AD33),"")</f>
        <v/>
      </c>
      <c r="Q20" s="347" t="str">
        <f>IF(COUNTBLANK(Entrants!B33)=1,"",IF(P20&lt;14,"J","S"))</f>
        <v/>
      </c>
      <c r="R20" s="347" t="str">
        <f>IF(Entrants!B33="","",IF(Entrants!L33="n","PKEF",IF(Entrants!L33="x","K",TRUE)))</f>
        <v/>
      </c>
      <c r="S20" s="347" t="str">
        <f>IF(LEFT(Entrants!M33,1)="Y",TRUE,"")</f>
        <v/>
      </c>
      <c r="T20" s="347" t="str">
        <f>IF(LEFT(Entrants!N33,1)="Y",TRUE,"")</f>
        <v/>
      </c>
      <c r="U20" s="347" t="str">
        <f>IF(LEFT(Entrants!O33,1)="Y",TRUE,"")</f>
        <v/>
      </c>
      <c r="V20" s="347" t="str">
        <f>IF(LEFT(Entrants!P33,1)="Y",TRUE,"")</f>
        <v/>
      </c>
      <c r="W20" s="347" t="str">
        <f>IF(LEFT(Entrants!Q33,1)="Y",TRUE,"")</f>
        <v/>
      </c>
      <c r="X20" s="347" t="str">
        <f>IF(Entrants!S33="Open",TRUE,"")</f>
        <v/>
      </c>
      <c r="Y20" s="347" t="str">
        <f>IF(Entrants!S33="Sporter",TRUE,"")</f>
        <v/>
      </c>
      <c r="Z20" s="347" t="str">
        <f>IF(COUNTBLANK(Entrants!U33)=1,"",PROPER(Entrants!U33))</f>
        <v/>
      </c>
      <c r="AA20" s="347" t="str">
        <f>IF(LEFT(Entrants!R33)="Y",TRUE,"")</f>
        <v/>
      </c>
      <c r="AB20" s="347" t="str">
        <f>IF(Entrants!V33="Y",TRUE,"")</f>
        <v/>
      </c>
      <c r="AC20" s="347" t="str">
        <f>IF(LEFT(Entrants!W33)="Y",TRUE,"")</f>
        <v/>
      </c>
      <c r="AD20" s="347" t="str">
        <f>IF(Entrants!X33="A",TRUE,"")</f>
        <v/>
      </c>
      <c r="AE20" s="347" t="str">
        <f>IF(Entrants!X33="B",TRUE,"")</f>
        <v/>
      </c>
      <c r="AF20" s="347" t="str">
        <f>IF(Entrants!Y33="A",TRUE,"")</f>
        <v/>
      </c>
      <c r="AG20" s="347" t="str">
        <f>IF(Entrants!Y33="B",TRUE,"")</f>
        <v/>
      </c>
      <c r="AH20" s="347" t="str">
        <f>IF(Entrants!Y33="X",TRUE,"")</f>
        <v/>
      </c>
      <c r="AI20" s="347" t="str">
        <f>IF(Entrants!M33="Y","",IF(Entrants!M33="","",IF(ISERROR(VLOOKUP( Entrants!M33, Entrants!$Q$144:$Q$161,1,FALSE)),(Entrants!M33),"")))</f>
        <v/>
      </c>
      <c r="AJ20" s="347" t="str">
        <f>IF(Entrants!N33="Y","",IF(Entrants!N33="","",IF(ISERROR(VLOOKUP( Entrants!N33, Entrants!$Q$144:$Q$161,1,FALSE)),(Entrants!N33),"")))</f>
        <v/>
      </c>
      <c r="AK20" s="347" t="str">
        <f>IF(Entrants!O33="Y","",IF(Entrants!O33="","",IF(ISERROR(VLOOKUP( Entrants!O33, Entrants!$Q$144:$Q$161,1,FALSE)),(Entrants!O33),"")))</f>
        <v/>
      </c>
      <c r="AL20" s="347" t="str">
        <f>IF(Entrants!P33="Y","",IF(Entrants!P33="","",IF(ISERROR(VLOOKUP( Entrants!P33, Entrants!$Q$144:$Q$161,1,FALSE)),(Entrants!P33),"")))</f>
        <v/>
      </c>
      <c r="AM20" s="347" t="str">
        <f>IF(Entrants!Q33="Y","",IF(Entrants!Q33="","",IF(ISERROR(VLOOKUP( Entrants!Q33, Entrants!$Q$144:$Q$161,1,FALSE)),(Entrants!Q33),"")))</f>
        <v/>
      </c>
      <c r="AN20" s="347" t="str">
        <f>IF(LEN(Entrants!R33)&gt;1,Entrants!R33,"")</f>
        <v/>
      </c>
      <c r="AO20" s="347" t="str">
        <f>IF(Entrants!T33="Y","",IF(Entrants!T33="","",IF(ISERROR(VLOOKUP( Entrants!T33, Entrants!$Q$144:$Q$161,1,FALSE)),(Entrants!T33),"")))</f>
        <v/>
      </c>
      <c r="AP20" s="347" t="str">
        <f>IF(LEN(Entrants!V33)&gt;1,Entrants!V33,"")</f>
        <v/>
      </c>
      <c r="AQ20" s="421" t="str">
        <f>Entrants!BH33</f>
        <v/>
      </c>
      <c r="AR20" s="424"/>
      <c r="AS20" s="424"/>
      <c r="AT20" s="424"/>
    </row>
    <row r="21" spans="1:46" s="347" customFormat="1" x14ac:dyDescent="0.25">
      <c r="B21" s="347">
        <f>IF(COUNTBLANK(Entrants!B34)=0,'Team Data'!A$2,0)</f>
        <v>0</v>
      </c>
      <c r="C21" s="347">
        <f>IF(COUNTBLANK(Entrants!B34)=0,Group!$B$8,0)</f>
        <v>0</v>
      </c>
      <c r="E21" s="347" t="str">
        <f>IF(TRIM(PROPER(Entrants!B34))="Zoe","Zoë",TRIM(PROPER(Entrants!B34)))</f>
        <v/>
      </c>
      <c r="F21" s="347" t="str">
        <f>TRIM(PROPER(Entrants!C34))</f>
        <v/>
      </c>
      <c r="G21" s="347">
        <f>IF(AND(Entrants!G34&gt;0,Entrants!G34&lt;1000000000),Entrants!G34,0)</f>
        <v>0</v>
      </c>
      <c r="H21" s="347">
        <f>IF(OR(AND(TYPE(Entrants!H34)=1,Entrants!H34&gt;1000),Entrants!H34="Y"),Entrants!H34,0)</f>
        <v>0</v>
      </c>
      <c r="I21" s="347" t="str">
        <f>UPPER(Entrants!J34)</f>
        <v/>
      </c>
      <c r="J21" s="347" t="str">
        <f>IF(Entrants!E34="F","F","")</f>
        <v/>
      </c>
      <c r="K21" s="347" t="str">
        <f>IF(Entrants!F34="L","L","")</f>
        <v/>
      </c>
      <c r="L21" s="347" t="str">
        <f>IF(Entrants!K34="R",TRUE,"")</f>
        <v/>
      </c>
      <c r="M21" s="347" t="str">
        <f>IF(Entrants!L34="X",TRUE,"")</f>
        <v/>
      </c>
      <c r="N21" s="347" t="str">
        <f>IF(Entrants!L34="N",TRUE,"")</f>
        <v/>
      </c>
      <c r="O21" s="349" t="str">
        <f>IF(Entrants!D34="","",Entrants!D34)</f>
        <v/>
      </c>
      <c r="P21" s="347" t="str">
        <f>IF(COUNTBLANK(Entrants!B34)=0,INT(Entrants!AD34),"")</f>
        <v/>
      </c>
      <c r="Q21" s="347" t="str">
        <f>IF(COUNTBLANK(Entrants!B34)=1,"",IF(P21&lt;14,"J","S"))</f>
        <v/>
      </c>
      <c r="R21" s="347" t="str">
        <f>IF(Entrants!B34="","",IF(Entrants!L34="n","PKEF",IF(Entrants!L34="x","K",TRUE)))</f>
        <v/>
      </c>
      <c r="S21" s="347" t="str">
        <f>IF(LEFT(Entrants!M34,1)="Y",TRUE,"")</f>
        <v/>
      </c>
      <c r="T21" s="347" t="str">
        <f>IF(LEFT(Entrants!N34,1)="Y",TRUE,"")</f>
        <v/>
      </c>
      <c r="U21" s="347" t="str">
        <f>IF(LEFT(Entrants!O34,1)="Y",TRUE,"")</f>
        <v/>
      </c>
      <c r="V21" s="347" t="str">
        <f>IF(LEFT(Entrants!P34,1)="Y",TRUE,"")</f>
        <v/>
      </c>
      <c r="W21" s="347" t="str">
        <f>IF(LEFT(Entrants!Q34,1)="Y",TRUE,"")</f>
        <v/>
      </c>
      <c r="X21" s="347" t="str">
        <f>IF(Entrants!S34="Open",TRUE,"")</f>
        <v/>
      </c>
      <c r="Y21" s="347" t="str">
        <f>IF(Entrants!S34="Sporter",TRUE,"")</f>
        <v/>
      </c>
      <c r="Z21" s="347" t="str">
        <f>IF(COUNTBLANK(Entrants!U34)=1,"",PROPER(Entrants!U34))</f>
        <v/>
      </c>
      <c r="AA21" s="347" t="str">
        <f>IF(LEFT(Entrants!R34)="Y",TRUE,"")</f>
        <v/>
      </c>
      <c r="AB21" s="347" t="str">
        <f>IF(Entrants!V34="Y",TRUE,"")</f>
        <v/>
      </c>
      <c r="AC21" s="347" t="str">
        <f>IF(LEFT(Entrants!W34)="Y",TRUE,"")</f>
        <v/>
      </c>
      <c r="AD21" s="347" t="str">
        <f>IF(Entrants!X34="A",TRUE,"")</f>
        <v/>
      </c>
      <c r="AE21" s="347" t="str">
        <f>IF(Entrants!X34="B",TRUE,"")</f>
        <v/>
      </c>
      <c r="AF21" s="347" t="str">
        <f>IF(Entrants!Y34="A",TRUE,"")</f>
        <v/>
      </c>
      <c r="AG21" s="347" t="str">
        <f>IF(Entrants!Y34="B",TRUE,"")</f>
        <v/>
      </c>
      <c r="AH21" s="347" t="str">
        <f>IF(Entrants!Y34="X",TRUE,"")</f>
        <v/>
      </c>
      <c r="AI21" s="347" t="str">
        <f>IF(Entrants!M34="Y","",IF(Entrants!M34="","",IF(ISERROR(VLOOKUP( Entrants!M34, Entrants!$Q$144:$Q$161,1,FALSE)),(Entrants!M34),"")))</f>
        <v/>
      </c>
      <c r="AJ21" s="347" t="str">
        <f>IF(Entrants!N34="Y","",IF(Entrants!N34="","",IF(ISERROR(VLOOKUP( Entrants!N34, Entrants!$Q$144:$Q$161,1,FALSE)),(Entrants!N34),"")))</f>
        <v/>
      </c>
      <c r="AK21" s="347" t="str">
        <f>IF(Entrants!O34="Y","",IF(Entrants!O34="","",IF(ISERROR(VLOOKUP( Entrants!O34, Entrants!$Q$144:$Q$161,1,FALSE)),(Entrants!O34),"")))</f>
        <v/>
      </c>
      <c r="AL21" s="347" t="str">
        <f>IF(Entrants!P34="Y","",IF(Entrants!P34="","",IF(ISERROR(VLOOKUP( Entrants!P34, Entrants!$Q$144:$Q$161,1,FALSE)),(Entrants!P34),"")))</f>
        <v/>
      </c>
      <c r="AM21" s="347" t="str">
        <f>IF(Entrants!Q34="Y","",IF(Entrants!Q34="","",IF(ISERROR(VLOOKUP( Entrants!Q34, Entrants!$Q$144:$Q$161,1,FALSE)),(Entrants!Q34),"")))</f>
        <v/>
      </c>
      <c r="AN21" s="347" t="str">
        <f>IF(LEN(Entrants!R34)&gt;1,Entrants!R34,"")</f>
        <v/>
      </c>
      <c r="AO21" s="347" t="str">
        <f>IF(Entrants!T34="Y","",IF(Entrants!T34="","",IF(ISERROR(VLOOKUP( Entrants!T34, Entrants!$Q$144:$Q$161,1,FALSE)),(Entrants!T34),"")))</f>
        <v/>
      </c>
      <c r="AP21" s="347" t="str">
        <f>IF(LEN(Entrants!V34)&gt;1,Entrants!V34,"")</f>
        <v/>
      </c>
      <c r="AQ21" s="421" t="str">
        <f>Entrants!BH34</f>
        <v/>
      </c>
      <c r="AR21" s="424"/>
      <c r="AS21" s="424"/>
      <c r="AT21" s="424"/>
    </row>
    <row r="22" spans="1:46" s="347" customFormat="1" x14ac:dyDescent="0.25">
      <c r="B22" s="347">
        <f>IF(COUNTBLANK(Entrants!B35)=0,'Team Data'!A$2,0)</f>
        <v>0</v>
      </c>
      <c r="C22" s="347">
        <f>IF(COUNTBLANK(Entrants!B35)=0,Group!$B$8,0)</f>
        <v>0</v>
      </c>
      <c r="E22" s="347" t="str">
        <f>IF(TRIM(PROPER(Entrants!B35))="Zoe","Zoë",TRIM(PROPER(Entrants!B35)))</f>
        <v/>
      </c>
      <c r="F22" s="347" t="str">
        <f>TRIM(PROPER(Entrants!C35))</f>
        <v/>
      </c>
      <c r="G22" s="347">
        <f>IF(AND(Entrants!G35&gt;0,Entrants!G35&lt;1000000000),Entrants!G35,0)</f>
        <v>0</v>
      </c>
      <c r="H22" s="347">
        <f>IF(OR(AND(TYPE(Entrants!H35)=1,Entrants!H35&gt;1000),Entrants!H35="Y"),Entrants!H35,0)</f>
        <v>0</v>
      </c>
      <c r="I22" s="347" t="str">
        <f>UPPER(Entrants!J35)</f>
        <v/>
      </c>
      <c r="J22" s="347" t="str">
        <f>IF(Entrants!E35="F","F","")</f>
        <v/>
      </c>
      <c r="K22" s="347" t="str">
        <f>IF(Entrants!F35="L","L","")</f>
        <v/>
      </c>
      <c r="L22" s="347" t="str">
        <f>IF(Entrants!K35="R",TRUE,"")</f>
        <v/>
      </c>
      <c r="M22" s="347" t="str">
        <f>IF(Entrants!L35="X",TRUE,"")</f>
        <v/>
      </c>
      <c r="N22" s="347" t="str">
        <f>IF(Entrants!L35="N",TRUE,"")</f>
        <v/>
      </c>
      <c r="O22" s="349" t="str">
        <f>IF(Entrants!D35="","",Entrants!D35)</f>
        <v/>
      </c>
      <c r="P22" s="347" t="str">
        <f>IF(COUNTBLANK(Entrants!B35)=0,INT(Entrants!AD35),"")</f>
        <v/>
      </c>
      <c r="Q22" s="347" t="str">
        <f>IF(COUNTBLANK(Entrants!B35)=1,"",IF(P22&lt;14,"J","S"))</f>
        <v/>
      </c>
      <c r="R22" s="347" t="str">
        <f>IF(Entrants!B35="","",IF(Entrants!L35="n","PKEF",IF(Entrants!L35="x","K",TRUE)))</f>
        <v/>
      </c>
      <c r="S22" s="347" t="str">
        <f>IF(LEFT(Entrants!M35,1)="Y",TRUE,"")</f>
        <v/>
      </c>
      <c r="T22" s="347" t="str">
        <f>IF(LEFT(Entrants!N35,1)="Y",TRUE,"")</f>
        <v/>
      </c>
      <c r="U22" s="347" t="str">
        <f>IF(LEFT(Entrants!O35,1)="Y",TRUE,"")</f>
        <v/>
      </c>
      <c r="V22" s="347" t="str">
        <f>IF(LEFT(Entrants!P35,1)="Y",TRUE,"")</f>
        <v/>
      </c>
      <c r="W22" s="347" t="str">
        <f>IF(LEFT(Entrants!Q35,1)="Y",TRUE,"")</f>
        <v/>
      </c>
      <c r="X22" s="347" t="str">
        <f>IF(Entrants!S35="Open",TRUE,"")</f>
        <v/>
      </c>
      <c r="Y22" s="347" t="str">
        <f>IF(Entrants!S35="Sporter",TRUE,"")</f>
        <v/>
      </c>
      <c r="Z22" s="347" t="str">
        <f>IF(COUNTBLANK(Entrants!U35)=1,"",PROPER(Entrants!U35))</f>
        <v/>
      </c>
      <c r="AA22" s="347" t="str">
        <f>IF(LEFT(Entrants!R35)="Y",TRUE,"")</f>
        <v/>
      </c>
      <c r="AB22" s="347" t="str">
        <f>IF(Entrants!V35="Y",TRUE,"")</f>
        <v/>
      </c>
      <c r="AC22" s="347" t="str">
        <f>IF(LEFT(Entrants!W35)="Y",TRUE,"")</f>
        <v/>
      </c>
      <c r="AD22" s="347" t="str">
        <f>IF(Entrants!X35="A",TRUE,"")</f>
        <v/>
      </c>
      <c r="AE22" s="347" t="str">
        <f>IF(Entrants!X35="B",TRUE,"")</f>
        <v/>
      </c>
      <c r="AF22" s="347" t="str">
        <f>IF(Entrants!Y35="A",TRUE,"")</f>
        <v/>
      </c>
      <c r="AG22" s="347" t="str">
        <f>IF(Entrants!Y35="B",TRUE,"")</f>
        <v/>
      </c>
      <c r="AH22" s="347" t="str">
        <f>IF(Entrants!Y35="X",TRUE,"")</f>
        <v/>
      </c>
      <c r="AI22" s="347" t="str">
        <f>IF(Entrants!M35="Y","",IF(Entrants!M35="","",IF(ISERROR(VLOOKUP( Entrants!M35, Entrants!$Q$144:$Q$161,1,FALSE)),(Entrants!M35),"")))</f>
        <v/>
      </c>
      <c r="AJ22" s="347" t="str">
        <f>IF(Entrants!N35="Y","",IF(Entrants!N35="","",IF(ISERROR(VLOOKUP( Entrants!N35, Entrants!$Q$144:$Q$161,1,FALSE)),(Entrants!N35),"")))</f>
        <v/>
      </c>
      <c r="AK22" s="347" t="str">
        <f>IF(Entrants!O35="Y","",IF(Entrants!O35="","",IF(ISERROR(VLOOKUP( Entrants!O35, Entrants!$Q$144:$Q$161,1,FALSE)),(Entrants!O35),"")))</f>
        <v/>
      </c>
      <c r="AL22" s="347" t="str">
        <f>IF(Entrants!P35="Y","",IF(Entrants!P35="","",IF(ISERROR(VLOOKUP( Entrants!P35, Entrants!$Q$144:$Q$161,1,FALSE)),(Entrants!P35),"")))</f>
        <v/>
      </c>
      <c r="AM22" s="347" t="str">
        <f>IF(Entrants!Q35="Y","",IF(Entrants!Q35="","",IF(ISERROR(VLOOKUP( Entrants!Q35, Entrants!$Q$144:$Q$161,1,FALSE)),(Entrants!Q35),"")))</f>
        <v/>
      </c>
      <c r="AN22" s="347" t="str">
        <f>IF(LEN(Entrants!R35)&gt;1,Entrants!R35,"")</f>
        <v/>
      </c>
      <c r="AO22" s="347" t="str">
        <f>IF(Entrants!T35="Y","",IF(Entrants!T35="","",IF(ISERROR(VLOOKUP( Entrants!T35, Entrants!$Q$144:$Q$161,1,FALSE)),(Entrants!T35),"")))</f>
        <v/>
      </c>
      <c r="AP22" s="347" t="str">
        <f>IF(LEN(Entrants!V35)&gt;1,Entrants!V35,"")</f>
        <v/>
      </c>
      <c r="AQ22" s="421" t="str">
        <f>Entrants!BH35</f>
        <v/>
      </c>
      <c r="AR22" s="424"/>
      <c r="AS22" s="424"/>
      <c r="AT22" s="424"/>
    </row>
    <row r="23" spans="1:46" s="347" customFormat="1" x14ac:dyDescent="0.25">
      <c r="B23" s="347">
        <f>IF(COUNTBLANK(Entrants!B36)=0,'Team Data'!A$2,0)</f>
        <v>0</v>
      </c>
      <c r="C23" s="347">
        <f>IF(COUNTBLANK(Entrants!B36)=0,Group!$B$8,0)</f>
        <v>0</v>
      </c>
      <c r="E23" s="347" t="str">
        <f>IF(TRIM(PROPER(Entrants!B36))="Zoe","Zoë",TRIM(PROPER(Entrants!B36)))</f>
        <v/>
      </c>
      <c r="F23" s="347" t="str">
        <f>TRIM(PROPER(Entrants!C36))</f>
        <v/>
      </c>
      <c r="G23" s="347">
        <f>IF(AND(Entrants!G36&gt;0,Entrants!G36&lt;1000000000),Entrants!G36,0)</f>
        <v>0</v>
      </c>
      <c r="H23" s="347">
        <f>IF(OR(AND(TYPE(Entrants!H36)=1,Entrants!H36&gt;1000),Entrants!H36="Y"),Entrants!H36,0)</f>
        <v>0</v>
      </c>
      <c r="I23" s="347" t="str">
        <f>UPPER(Entrants!J36)</f>
        <v/>
      </c>
      <c r="J23" s="347" t="str">
        <f>IF(Entrants!E36="F","F","")</f>
        <v/>
      </c>
      <c r="K23" s="347" t="str">
        <f>IF(Entrants!F36="L","L","")</f>
        <v/>
      </c>
      <c r="L23" s="347" t="str">
        <f>IF(Entrants!K36="R",TRUE,"")</f>
        <v/>
      </c>
      <c r="M23" s="347" t="str">
        <f>IF(Entrants!L36="X",TRUE,"")</f>
        <v/>
      </c>
      <c r="N23" s="347" t="str">
        <f>IF(Entrants!L36="N",TRUE,"")</f>
        <v/>
      </c>
      <c r="O23" s="349" t="str">
        <f>IF(Entrants!D36="","",Entrants!D36)</f>
        <v/>
      </c>
      <c r="P23" s="347" t="str">
        <f>IF(COUNTBLANK(Entrants!B36)=0,INT(Entrants!AD36),"")</f>
        <v/>
      </c>
      <c r="Q23" s="347" t="str">
        <f>IF(COUNTBLANK(Entrants!B36)=1,"",IF(P23&lt;14,"J","S"))</f>
        <v/>
      </c>
      <c r="R23" s="347" t="str">
        <f>IF(Entrants!B36="","",IF(Entrants!L36="n","PKEF",IF(Entrants!L36="x","K",TRUE)))</f>
        <v/>
      </c>
      <c r="S23" s="347" t="str">
        <f>IF(LEFT(Entrants!M36,1)="Y",TRUE,"")</f>
        <v/>
      </c>
      <c r="T23" s="347" t="str">
        <f>IF(LEFT(Entrants!N36,1)="Y",TRUE,"")</f>
        <v/>
      </c>
      <c r="U23" s="347" t="str">
        <f>IF(LEFT(Entrants!O36,1)="Y",TRUE,"")</f>
        <v/>
      </c>
      <c r="V23" s="347" t="str">
        <f>IF(LEFT(Entrants!P36,1)="Y",TRUE,"")</f>
        <v/>
      </c>
      <c r="W23" s="347" t="str">
        <f>IF(LEFT(Entrants!Q36,1)="Y",TRUE,"")</f>
        <v/>
      </c>
      <c r="X23" s="347" t="str">
        <f>IF(Entrants!S36="Open",TRUE,"")</f>
        <v/>
      </c>
      <c r="Y23" s="347" t="str">
        <f>IF(Entrants!S36="Sporter",TRUE,"")</f>
        <v/>
      </c>
      <c r="Z23" s="347" t="str">
        <f>IF(COUNTBLANK(Entrants!U36)=1,"",PROPER(Entrants!U36))</f>
        <v/>
      </c>
      <c r="AA23" s="347" t="str">
        <f>IF(LEFT(Entrants!R36)="Y",TRUE,"")</f>
        <v/>
      </c>
      <c r="AB23" s="347" t="str">
        <f>IF(Entrants!V36="Y",TRUE,"")</f>
        <v/>
      </c>
      <c r="AC23" s="347" t="str">
        <f>IF(LEFT(Entrants!W36)="Y",TRUE,"")</f>
        <v/>
      </c>
      <c r="AD23" s="347" t="str">
        <f>IF(Entrants!X36="A",TRUE,"")</f>
        <v/>
      </c>
      <c r="AE23" s="347" t="str">
        <f>IF(Entrants!X36="B",TRUE,"")</f>
        <v/>
      </c>
      <c r="AF23" s="347" t="str">
        <f>IF(Entrants!Y36="A",TRUE,"")</f>
        <v/>
      </c>
      <c r="AG23" s="347" t="str">
        <f>IF(Entrants!Y36="B",TRUE,"")</f>
        <v/>
      </c>
      <c r="AH23" s="347" t="str">
        <f>IF(Entrants!Y36="X",TRUE,"")</f>
        <v/>
      </c>
      <c r="AI23" s="347" t="str">
        <f>IF(Entrants!M36="Y","",IF(Entrants!M36="","",IF(ISERROR(VLOOKUP( Entrants!M36, Entrants!$Q$144:$Q$161,1,FALSE)),(Entrants!M36),"")))</f>
        <v/>
      </c>
      <c r="AJ23" s="347" t="str">
        <f>IF(Entrants!N36="Y","",IF(Entrants!N36="","",IF(ISERROR(VLOOKUP( Entrants!N36, Entrants!$Q$144:$Q$161,1,FALSE)),(Entrants!N36),"")))</f>
        <v/>
      </c>
      <c r="AK23" s="347" t="str">
        <f>IF(Entrants!O36="Y","",IF(Entrants!O36="","",IF(ISERROR(VLOOKUP( Entrants!O36, Entrants!$Q$144:$Q$161,1,FALSE)),(Entrants!O36),"")))</f>
        <v/>
      </c>
      <c r="AL23" s="347" t="str">
        <f>IF(Entrants!P36="Y","",IF(Entrants!P36="","",IF(ISERROR(VLOOKUP( Entrants!P36, Entrants!$Q$144:$Q$161,1,FALSE)),(Entrants!P36),"")))</f>
        <v/>
      </c>
      <c r="AM23" s="347" t="str">
        <f>IF(Entrants!Q36="Y","",IF(Entrants!Q36="","",IF(ISERROR(VLOOKUP( Entrants!Q36, Entrants!$Q$144:$Q$161,1,FALSE)),(Entrants!Q36),"")))</f>
        <v/>
      </c>
      <c r="AN23" s="347" t="str">
        <f>IF(LEN(Entrants!R36)&gt;1,Entrants!R36,"")</f>
        <v/>
      </c>
      <c r="AO23" s="347" t="str">
        <f>IF(Entrants!T36="Y","",IF(Entrants!T36="","",IF(ISERROR(VLOOKUP( Entrants!T36, Entrants!$Q$144:$Q$161,1,FALSE)),(Entrants!T36),"")))</f>
        <v/>
      </c>
      <c r="AP23" s="347" t="str">
        <f>IF(LEN(Entrants!V36)&gt;1,Entrants!V36,"")</f>
        <v/>
      </c>
      <c r="AQ23" s="421" t="str">
        <f>Entrants!BH36</f>
        <v/>
      </c>
      <c r="AR23" s="424"/>
      <c r="AS23" s="424"/>
      <c r="AT23" s="424"/>
    </row>
    <row r="24" spans="1:46" s="347" customFormat="1" x14ac:dyDescent="0.25">
      <c r="B24" s="347">
        <f>IF(COUNTBLANK(Entrants!B37)=0,'Team Data'!A$2,0)</f>
        <v>0</v>
      </c>
      <c r="C24" s="347">
        <f>IF(COUNTBLANK(Entrants!B37)=0,Group!$B$8,0)</f>
        <v>0</v>
      </c>
      <c r="E24" s="347" t="str">
        <f>IF(TRIM(PROPER(Entrants!B37))="Zoe","Zoë",TRIM(PROPER(Entrants!B37)))</f>
        <v/>
      </c>
      <c r="F24" s="347" t="str">
        <f>TRIM(PROPER(Entrants!C37))</f>
        <v/>
      </c>
      <c r="G24" s="347">
        <f>IF(AND(Entrants!G37&gt;0,Entrants!G37&lt;1000000000),Entrants!G37,0)</f>
        <v>0</v>
      </c>
      <c r="H24" s="347">
        <f>IF(OR(AND(TYPE(Entrants!H37)=1,Entrants!H37&gt;1000),Entrants!H37="Y"),Entrants!H37,0)</f>
        <v>0</v>
      </c>
      <c r="I24" s="347" t="str">
        <f>UPPER(Entrants!J37)</f>
        <v/>
      </c>
      <c r="J24" s="347" t="str">
        <f>IF(Entrants!E37="F","F","")</f>
        <v/>
      </c>
      <c r="K24" s="347" t="str">
        <f>IF(Entrants!F37="L","L","")</f>
        <v/>
      </c>
      <c r="L24" s="347" t="str">
        <f>IF(Entrants!K37="R",TRUE,"")</f>
        <v/>
      </c>
      <c r="M24" s="347" t="str">
        <f>IF(Entrants!L37="X",TRUE,"")</f>
        <v/>
      </c>
      <c r="N24" s="347" t="str">
        <f>IF(Entrants!L37="N",TRUE,"")</f>
        <v/>
      </c>
      <c r="O24" s="349" t="str">
        <f>IF(Entrants!D37="","",Entrants!D37)</f>
        <v/>
      </c>
      <c r="P24" s="347" t="str">
        <f>IF(COUNTBLANK(Entrants!B37)=0,INT(Entrants!AD37),"")</f>
        <v/>
      </c>
      <c r="Q24" s="347" t="str">
        <f>IF(COUNTBLANK(Entrants!B37)=1,"",IF(P24&lt;14,"J","S"))</f>
        <v/>
      </c>
      <c r="R24" s="347" t="str">
        <f>IF(Entrants!B37="","",IF(Entrants!L37="n","PKEF",IF(Entrants!L37="x","K",TRUE)))</f>
        <v/>
      </c>
      <c r="S24" s="347" t="str">
        <f>IF(LEFT(Entrants!M37,1)="Y",TRUE,"")</f>
        <v/>
      </c>
      <c r="T24" s="347" t="str">
        <f>IF(LEFT(Entrants!N37,1)="Y",TRUE,"")</f>
        <v/>
      </c>
      <c r="U24" s="347" t="str">
        <f>IF(LEFT(Entrants!O37,1)="Y",TRUE,"")</f>
        <v/>
      </c>
      <c r="V24" s="347" t="str">
        <f>IF(LEFT(Entrants!P37,1)="Y",TRUE,"")</f>
        <v/>
      </c>
      <c r="W24" s="347" t="str">
        <f>IF(LEFT(Entrants!Q37,1)="Y",TRUE,"")</f>
        <v/>
      </c>
      <c r="X24" s="347" t="str">
        <f>IF(Entrants!S37="Open",TRUE,"")</f>
        <v/>
      </c>
      <c r="Y24" s="347" t="str">
        <f>IF(Entrants!S37="Sporter",TRUE,"")</f>
        <v/>
      </c>
      <c r="Z24" s="347" t="str">
        <f>IF(COUNTBLANK(Entrants!U37)=1,"",PROPER(Entrants!U37))</f>
        <v/>
      </c>
      <c r="AA24" s="347" t="str">
        <f>IF(LEFT(Entrants!R37)="Y",TRUE,"")</f>
        <v/>
      </c>
      <c r="AB24" s="347" t="str">
        <f>IF(Entrants!V37="Y",TRUE,"")</f>
        <v/>
      </c>
      <c r="AC24" s="347" t="str">
        <f>IF(LEFT(Entrants!W37)="Y",TRUE,"")</f>
        <v/>
      </c>
      <c r="AD24" s="347" t="str">
        <f>IF(Entrants!X37="A",TRUE,"")</f>
        <v/>
      </c>
      <c r="AE24" s="347" t="str">
        <f>IF(Entrants!X37="B",TRUE,"")</f>
        <v/>
      </c>
      <c r="AF24" s="347" t="str">
        <f>IF(Entrants!Y37="A",TRUE,"")</f>
        <v/>
      </c>
      <c r="AG24" s="347" t="str">
        <f>IF(Entrants!Y37="B",TRUE,"")</f>
        <v/>
      </c>
      <c r="AH24" s="347" t="str">
        <f>IF(Entrants!Y37="X",TRUE,"")</f>
        <v/>
      </c>
      <c r="AI24" s="347" t="str">
        <f>IF(Entrants!M37="Y","",IF(Entrants!M37="","",IF(ISERROR(VLOOKUP( Entrants!M37, Entrants!$Q$144:$Q$161,1,FALSE)),(Entrants!M37),"")))</f>
        <v/>
      </c>
      <c r="AJ24" s="347" t="str">
        <f>IF(Entrants!N37="Y","",IF(Entrants!N37="","",IF(ISERROR(VLOOKUP( Entrants!N37, Entrants!$Q$144:$Q$161,1,FALSE)),(Entrants!N37),"")))</f>
        <v/>
      </c>
      <c r="AK24" s="347" t="str">
        <f>IF(Entrants!O37="Y","",IF(Entrants!O37="","",IF(ISERROR(VLOOKUP( Entrants!O37, Entrants!$Q$144:$Q$161,1,FALSE)),(Entrants!O37),"")))</f>
        <v/>
      </c>
      <c r="AL24" s="347" t="str">
        <f>IF(Entrants!P37="Y","",IF(Entrants!P37="","",IF(ISERROR(VLOOKUP( Entrants!P37, Entrants!$Q$144:$Q$161,1,FALSE)),(Entrants!P37),"")))</f>
        <v/>
      </c>
      <c r="AM24" s="347" t="str">
        <f>IF(Entrants!Q37="Y","",IF(Entrants!Q37="","",IF(ISERROR(VLOOKUP( Entrants!Q37, Entrants!$Q$144:$Q$161,1,FALSE)),(Entrants!Q37),"")))</f>
        <v/>
      </c>
      <c r="AN24" s="347" t="str">
        <f>IF(LEN(Entrants!R37)&gt;1,Entrants!R37,"")</f>
        <v/>
      </c>
      <c r="AO24" s="347" t="str">
        <f>IF(Entrants!T37="Y","",IF(Entrants!T37="","",IF(ISERROR(VLOOKUP( Entrants!T37, Entrants!$Q$144:$Q$161,1,FALSE)),(Entrants!T37),"")))</f>
        <v/>
      </c>
      <c r="AP24" s="347" t="str">
        <f>IF(LEN(Entrants!V37)&gt;1,Entrants!V37,"")</f>
        <v/>
      </c>
      <c r="AQ24" s="421" t="str">
        <f>Entrants!BH37</f>
        <v/>
      </c>
      <c r="AR24" s="424"/>
      <c r="AS24" s="424"/>
      <c r="AT24" s="424"/>
    </row>
    <row r="25" spans="1:46" s="347" customFormat="1" x14ac:dyDescent="0.25">
      <c r="B25" s="347">
        <f>IF(COUNTBLANK(Entrants!B38)=0,'Team Data'!A$2,0)</f>
        <v>0</v>
      </c>
      <c r="C25" s="347">
        <f>IF(COUNTBLANK(Entrants!B38)=0,Group!$B$8,0)</f>
        <v>0</v>
      </c>
      <c r="E25" s="347" t="str">
        <f>IF(TRIM(PROPER(Entrants!B38))="Zoe","Zoë",TRIM(PROPER(Entrants!B38)))</f>
        <v/>
      </c>
      <c r="F25" s="347" t="str">
        <f>TRIM(PROPER(Entrants!C38))</f>
        <v/>
      </c>
      <c r="G25" s="347">
        <f>IF(AND(Entrants!G38&gt;0,Entrants!G38&lt;1000000000),Entrants!G38,0)</f>
        <v>0</v>
      </c>
      <c r="H25" s="347">
        <f>IF(OR(AND(TYPE(Entrants!H38)=1,Entrants!H38&gt;1000),Entrants!H38="Y"),Entrants!H38,0)</f>
        <v>0</v>
      </c>
      <c r="I25" s="347" t="str">
        <f>UPPER(Entrants!J38)</f>
        <v/>
      </c>
      <c r="J25" s="347" t="str">
        <f>IF(Entrants!E38="F","F","")</f>
        <v/>
      </c>
      <c r="K25" s="347" t="str">
        <f>IF(Entrants!F38="L","L","")</f>
        <v/>
      </c>
      <c r="L25" s="347" t="str">
        <f>IF(Entrants!K38="R",TRUE,"")</f>
        <v/>
      </c>
      <c r="M25" s="347" t="str">
        <f>IF(Entrants!L38="X",TRUE,"")</f>
        <v/>
      </c>
      <c r="N25" s="347" t="str">
        <f>IF(Entrants!L38="N",TRUE,"")</f>
        <v/>
      </c>
      <c r="O25" s="349" t="str">
        <f>IF(Entrants!D38="","",Entrants!D38)</f>
        <v/>
      </c>
      <c r="P25" s="347" t="str">
        <f>IF(COUNTBLANK(Entrants!B38)=0,INT(Entrants!AD38),"")</f>
        <v/>
      </c>
      <c r="Q25" s="347" t="str">
        <f>IF(COUNTBLANK(Entrants!B38)=1,"",IF(P25&lt;14,"J","S"))</f>
        <v/>
      </c>
      <c r="R25" s="347" t="str">
        <f>IF(Entrants!B38="","",IF(Entrants!L38="n","PKEF",IF(Entrants!L38="x","K",TRUE)))</f>
        <v/>
      </c>
      <c r="S25" s="347" t="str">
        <f>IF(LEFT(Entrants!M38,1)="Y",TRUE,"")</f>
        <v/>
      </c>
      <c r="T25" s="347" t="str">
        <f>IF(LEFT(Entrants!N38,1)="Y",TRUE,"")</f>
        <v/>
      </c>
      <c r="U25" s="347" t="str">
        <f>IF(LEFT(Entrants!O38,1)="Y",TRUE,"")</f>
        <v/>
      </c>
      <c r="V25" s="347" t="str">
        <f>IF(LEFT(Entrants!P38,1)="Y",TRUE,"")</f>
        <v/>
      </c>
      <c r="W25" s="347" t="str">
        <f>IF(LEFT(Entrants!Q38,1)="Y",TRUE,"")</f>
        <v/>
      </c>
      <c r="X25" s="347" t="str">
        <f>IF(Entrants!S38="Open",TRUE,"")</f>
        <v/>
      </c>
      <c r="Y25" s="347" t="str">
        <f>IF(Entrants!S38="Sporter",TRUE,"")</f>
        <v/>
      </c>
      <c r="Z25" s="347" t="str">
        <f>IF(COUNTBLANK(Entrants!U38)=1,"",PROPER(Entrants!U38))</f>
        <v/>
      </c>
      <c r="AA25" s="347" t="str">
        <f>IF(LEFT(Entrants!R38)="Y",TRUE,"")</f>
        <v/>
      </c>
      <c r="AB25" s="347" t="str">
        <f>IF(Entrants!V38="Y",TRUE,"")</f>
        <v/>
      </c>
      <c r="AC25" s="347" t="str">
        <f>IF(LEFT(Entrants!W38)="Y",TRUE,"")</f>
        <v/>
      </c>
      <c r="AD25" s="347" t="str">
        <f>IF(Entrants!X38="A",TRUE,"")</f>
        <v/>
      </c>
      <c r="AE25" s="347" t="str">
        <f>IF(Entrants!X38="B",TRUE,"")</f>
        <v/>
      </c>
      <c r="AF25" s="347" t="str">
        <f>IF(Entrants!Y38="A",TRUE,"")</f>
        <v/>
      </c>
      <c r="AG25" s="347" t="str">
        <f>IF(Entrants!Y38="B",TRUE,"")</f>
        <v/>
      </c>
      <c r="AH25" s="347" t="str">
        <f>IF(Entrants!Y38="X",TRUE,"")</f>
        <v/>
      </c>
      <c r="AI25" s="347" t="str">
        <f>IF(Entrants!M38="Y","",IF(Entrants!M38="","",IF(ISERROR(VLOOKUP( Entrants!M38, Entrants!$Q$144:$Q$161,1,FALSE)),(Entrants!M38),"")))</f>
        <v/>
      </c>
      <c r="AJ25" s="347" t="str">
        <f>IF(Entrants!N38="Y","",IF(Entrants!N38="","",IF(ISERROR(VLOOKUP( Entrants!N38, Entrants!$Q$144:$Q$161,1,FALSE)),(Entrants!N38),"")))</f>
        <v/>
      </c>
      <c r="AK25" s="347" t="str">
        <f>IF(Entrants!O38="Y","",IF(Entrants!O38="","",IF(ISERROR(VLOOKUP( Entrants!O38, Entrants!$Q$144:$Q$161,1,FALSE)),(Entrants!O38),"")))</f>
        <v/>
      </c>
      <c r="AL25" s="347" t="str">
        <f>IF(Entrants!P38="Y","",IF(Entrants!P38="","",IF(ISERROR(VLOOKUP( Entrants!P38, Entrants!$Q$144:$Q$161,1,FALSE)),(Entrants!P38),"")))</f>
        <v/>
      </c>
      <c r="AM25" s="347" t="str">
        <f>IF(Entrants!Q38="Y","",IF(Entrants!Q38="","",IF(ISERROR(VLOOKUP( Entrants!Q38, Entrants!$Q$144:$Q$161,1,FALSE)),(Entrants!Q38),"")))</f>
        <v/>
      </c>
      <c r="AN25" s="347" t="str">
        <f>IF(LEN(Entrants!R38)&gt;1,Entrants!R38,"")</f>
        <v/>
      </c>
      <c r="AO25" s="347" t="str">
        <f>IF(Entrants!T38="Y","",IF(Entrants!T38="","",IF(ISERROR(VLOOKUP( Entrants!T38, Entrants!$Q$144:$Q$161,1,FALSE)),(Entrants!T38),"")))</f>
        <v/>
      </c>
      <c r="AP25" s="347" t="str">
        <f>IF(LEN(Entrants!V38)&gt;1,Entrants!V38,"")</f>
        <v/>
      </c>
      <c r="AQ25" s="421" t="str">
        <f>Entrants!BH38</f>
        <v/>
      </c>
      <c r="AR25" s="424"/>
      <c r="AS25" s="424"/>
      <c r="AT25" s="424"/>
    </row>
    <row r="26" spans="1:46" s="347" customFormat="1" x14ac:dyDescent="0.25">
      <c r="B26" s="347">
        <f>IF(COUNTBLANK(Entrants!B39)=0,'Team Data'!A$2,0)</f>
        <v>0</v>
      </c>
      <c r="C26" s="347">
        <f>IF(COUNTBLANK(Entrants!B39)=0,Group!$B$8,0)</f>
        <v>0</v>
      </c>
      <c r="E26" s="347" t="str">
        <f>IF(TRIM(PROPER(Entrants!B39))="Zoe","Zoë",TRIM(PROPER(Entrants!B39)))</f>
        <v/>
      </c>
      <c r="F26" s="347" t="str">
        <f>TRIM(PROPER(Entrants!C39))</f>
        <v/>
      </c>
      <c r="G26" s="347">
        <f>IF(AND(Entrants!G39&gt;0,Entrants!G39&lt;1000000000),Entrants!G39,0)</f>
        <v>0</v>
      </c>
      <c r="H26" s="347">
        <f>IF(OR(AND(TYPE(Entrants!H39)=1,Entrants!H39&gt;1000),Entrants!H39="Y"),Entrants!H39,0)</f>
        <v>0</v>
      </c>
      <c r="I26" s="347" t="str">
        <f>UPPER(Entrants!J39)</f>
        <v/>
      </c>
      <c r="J26" s="347" t="str">
        <f>IF(Entrants!E39="F","F","")</f>
        <v/>
      </c>
      <c r="K26" s="347" t="str">
        <f>IF(Entrants!F39="L","L","")</f>
        <v/>
      </c>
      <c r="L26" s="347" t="str">
        <f>IF(Entrants!K39="R",TRUE,"")</f>
        <v/>
      </c>
      <c r="M26" s="347" t="str">
        <f>IF(Entrants!L39="X",TRUE,"")</f>
        <v/>
      </c>
      <c r="N26" s="347" t="str">
        <f>IF(Entrants!L39="N",TRUE,"")</f>
        <v/>
      </c>
      <c r="O26" s="349" t="str">
        <f>IF(Entrants!D39="","",Entrants!D39)</f>
        <v/>
      </c>
      <c r="P26" s="347" t="str">
        <f>IF(COUNTBLANK(Entrants!B39)=0,INT(Entrants!AD39),"")</f>
        <v/>
      </c>
      <c r="Q26" s="347" t="str">
        <f>IF(COUNTBLANK(Entrants!B39)=1,"",IF(P26&lt;14,"J","S"))</f>
        <v/>
      </c>
      <c r="R26" s="347" t="str">
        <f>IF(Entrants!B39="","",IF(Entrants!L39="n","PKEF",IF(Entrants!L39="x","K",TRUE)))</f>
        <v/>
      </c>
      <c r="S26" s="347" t="str">
        <f>IF(LEFT(Entrants!M39,1)="Y",TRUE,"")</f>
        <v/>
      </c>
      <c r="T26" s="347" t="str">
        <f>IF(LEFT(Entrants!N39,1)="Y",TRUE,"")</f>
        <v/>
      </c>
      <c r="U26" s="347" t="str">
        <f>IF(LEFT(Entrants!O39,1)="Y",TRUE,"")</f>
        <v/>
      </c>
      <c r="V26" s="347" t="str">
        <f>IF(LEFT(Entrants!P39,1)="Y",TRUE,"")</f>
        <v/>
      </c>
      <c r="W26" s="347" t="str">
        <f>IF(LEFT(Entrants!Q39,1)="Y",TRUE,"")</f>
        <v/>
      </c>
      <c r="X26" s="347" t="str">
        <f>IF(Entrants!S39="Open",TRUE,"")</f>
        <v/>
      </c>
      <c r="Y26" s="347" t="str">
        <f>IF(Entrants!S39="Sporter",TRUE,"")</f>
        <v/>
      </c>
      <c r="Z26" s="347" t="str">
        <f>IF(COUNTBLANK(Entrants!U39)=1,"",PROPER(Entrants!U39))</f>
        <v/>
      </c>
      <c r="AA26" s="347" t="str">
        <f>IF(LEFT(Entrants!R39)="Y",TRUE,"")</f>
        <v/>
      </c>
      <c r="AB26" s="347" t="str">
        <f>IF(Entrants!V39="Y",TRUE,"")</f>
        <v/>
      </c>
      <c r="AC26" s="347" t="str">
        <f>IF(LEFT(Entrants!W39)="Y",TRUE,"")</f>
        <v/>
      </c>
      <c r="AD26" s="347" t="str">
        <f>IF(Entrants!X39="A",TRUE,"")</f>
        <v/>
      </c>
      <c r="AE26" s="347" t="str">
        <f>IF(Entrants!X39="B",TRUE,"")</f>
        <v/>
      </c>
      <c r="AF26" s="347" t="str">
        <f>IF(Entrants!Y39="A",TRUE,"")</f>
        <v/>
      </c>
      <c r="AG26" s="347" t="str">
        <f>IF(Entrants!Y39="B",TRUE,"")</f>
        <v/>
      </c>
      <c r="AH26" s="347" t="str">
        <f>IF(Entrants!Y39="X",TRUE,"")</f>
        <v/>
      </c>
      <c r="AI26" s="347" t="str">
        <f>IF(Entrants!M39="Y","",IF(Entrants!M39="","",IF(ISERROR(VLOOKUP( Entrants!M39, Entrants!$Q$144:$Q$161,1,FALSE)),(Entrants!M39),"")))</f>
        <v/>
      </c>
      <c r="AJ26" s="347" t="str">
        <f>IF(Entrants!N39="Y","",IF(Entrants!N39="","",IF(ISERROR(VLOOKUP( Entrants!N39, Entrants!$Q$144:$Q$161,1,FALSE)),(Entrants!N39),"")))</f>
        <v/>
      </c>
      <c r="AK26" s="347" t="str">
        <f>IF(Entrants!O39="Y","",IF(Entrants!O39="","",IF(ISERROR(VLOOKUP( Entrants!O39, Entrants!$Q$144:$Q$161,1,FALSE)),(Entrants!O39),"")))</f>
        <v/>
      </c>
      <c r="AL26" s="347" t="str">
        <f>IF(Entrants!P39="Y","",IF(Entrants!P39="","",IF(ISERROR(VLOOKUP( Entrants!P39, Entrants!$Q$144:$Q$161,1,FALSE)),(Entrants!P39),"")))</f>
        <v/>
      </c>
      <c r="AM26" s="347" t="str">
        <f>IF(Entrants!Q39="Y","",IF(Entrants!Q39="","",IF(ISERROR(VLOOKUP( Entrants!Q39, Entrants!$Q$144:$Q$161,1,FALSE)),(Entrants!Q39),"")))</f>
        <v/>
      </c>
      <c r="AN26" s="347" t="str">
        <f>IF(LEN(Entrants!R39)&gt;1,Entrants!R39,"")</f>
        <v/>
      </c>
      <c r="AO26" s="347" t="str">
        <f>IF(Entrants!T39="Y","",IF(Entrants!T39="","",IF(ISERROR(VLOOKUP( Entrants!T39, Entrants!$Q$144:$Q$161,1,FALSE)),(Entrants!T39),"")))</f>
        <v/>
      </c>
      <c r="AP26" s="347" t="str">
        <f>IF(LEN(Entrants!V39)&gt;1,Entrants!V39,"")</f>
        <v/>
      </c>
      <c r="AQ26" s="421" t="str">
        <f>Entrants!BH39</f>
        <v/>
      </c>
      <c r="AR26" s="424"/>
      <c r="AS26" s="424"/>
      <c r="AT26" s="424"/>
    </row>
    <row r="27" spans="1:46" s="347" customFormat="1" x14ac:dyDescent="0.25">
      <c r="B27" s="347">
        <f>IF(COUNTBLANK(Entrants!B40)=0,'Team Data'!A$2,0)</f>
        <v>0</v>
      </c>
      <c r="C27" s="347">
        <f>IF(COUNTBLANK(Entrants!B40)=0,Group!$B$8,0)</f>
        <v>0</v>
      </c>
      <c r="E27" s="347" t="str">
        <f>IF(TRIM(PROPER(Entrants!B40))="Zoe","Zoë",TRIM(PROPER(Entrants!B40)))</f>
        <v/>
      </c>
      <c r="F27" s="347" t="str">
        <f>TRIM(PROPER(Entrants!C40))</f>
        <v/>
      </c>
      <c r="G27" s="347">
        <f>IF(AND(Entrants!G40&gt;0,Entrants!G40&lt;1000000000),Entrants!G40,0)</f>
        <v>0</v>
      </c>
      <c r="H27" s="347">
        <f>IF(OR(AND(TYPE(Entrants!H40)=1,Entrants!H40&gt;1000),Entrants!H40="Y"),Entrants!H40,0)</f>
        <v>0</v>
      </c>
      <c r="I27" s="347" t="str">
        <f>UPPER(Entrants!J40)</f>
        <v/>
      </c>
      <c r="J27" s="347" t="str">
        <f>IF(Entrants!E40="F","F","")</f>
        <v/>
      </c>
      <c r="K27" s="347" t="str">
        <f>IF(Entrants!F40="L","L","")</f>
        <v/>
      </c>
      <c r="L27" s="347" t="str">
        <f>IF(Entrants!K40="R",TRUE,"")</f>
        <v/>
      </c>
      <c r="M27" s="347" t="str">
        <f>IF(Entrants!L40="X",TRUE,"")</f>
        <v/>
      </c>
      <c r="N27" s="347" t="str">
        <f>IF(Entrants!L40="N",TRUE,"")</f>
        <v/>
      </c>
      <c r="O27" s="349" t="str">
        <f>IF(Entrants!D40="","",Entrants!D40)</f>
        <v/>
      </c>
      <c r="P27" s="347" t="str">
        <f>IF(COUNTBLANK(Entrants!B40)=0,INT(Entrants!AD40),"")</f>
        <v/>
      </c>
      <c r="Q27" s="347" t="str">
        <f>IF(COUNTBLANK(Entrants!B40)=1,"",IF(P27&lt;14,"J","S"))</f>
        <v/>
      </c>
      <c r="R27" s="347" t="str">
        <f>IF(Entrants!B40="","",IF(Entrants!L40="n","PKEF",IF(Entrants!L40="x","K",TRUE)))</f>
        <v/>
      </c>
      <c r="S27" s="347" t="str">
        <f>IF(LEFT(Entrants!M40,1)="Y",TRUE,"")</f>
        <v/>
      </c>
      <c r="T27" s="347" t="str">
        <f>IF(LEFT(Entrants!N40,1)="Y",TRUE,"")</f>
        <v/>
      </c>
      <c r="U27" s="347" t="str">
        <f>IF(LEFT(Entrants!O40,1)="Y",TRUE,"")</f>
        <v/>
      </c>
      <c r="V27" s="347" t="str">
        <f>IF(LEFT(Entrants!P40,1)="Y",TRUE,"")</f>
        <v/>
      </c>
      <c r="W27" s="347" t="str">
        <f>IF(LEFT(Entrants!Q40,1)="Y",TRUE,"")</f>
        <v/>
      </c>
      <c r="X27" s="347" t="str">
        <f>IF(Entrants!S40="Open",TRUE,"")</f>
        <v/>
      </c>
      <c r="Y27" s="347" t="str">
        <f>IF(Entrants!S40="Sporter",TRUE,"")</f>
        <v/>
      </c>
      <c r="Z27" s="347" t="str">
        <f>IF(COUNTBLANK(Entrants!U40)=1,"",PROPER(Entrants!U40))</f>
        <v/>
      </c>
      <c r="AA27" s="347" t="str">
        <f>IF(LEFT(Entrants!R40)="Y",TRUE,"")</f>
        <v/>
      </c>
      <c r="AB27" s="347" t="str">
        <f>IF(Entrants!V40="Y",TRUE,"")</f>
        <v/>
      </c>
      <c r="AC27" s="347" t="str">
        <f>IF(LEFT(Entrants!W40)="Y",TRUE,"")</f>
        <v/>
      </c>
      <c r="AD27" s="347" t="str">
        <f>IF(Entrants!X40="A",TRUE,"")</f>
        <v/>
      </c>
      <c r="AE27" s="347" t="str">
        <f>IF(Entrants!X40="B",TRUE,"")</f>
        <v/>
      </c>
      <c r="AF27" s="347" t="str">
        <f>IF(Entrants!Y40="A",TRUE,"")</f>
        <v/>
      </c>
      <c r="AG27" s="347" t="str">
        <f>IF(Entrants!Y40="B",TRUE,"")</f>
        <v/>
      </c>
      <c r="AH27" s="347" t="str">
        <f>IF(Entrants!Y40="X",TRUE,"")</f>
        <v/>
      </c>
      <c r="AI27" s="347" t="str">
        <f>IF(Entrants!M40="Y","",IF(Entrants!M40="","",IF(ISERROR(VLOOKUP( Entrants!M40, Entrants!$Q$144:$Q$161,1,FALSE)),(Entrants!M40),"")))</f>
        <v/>
      </c>
      <c r="AJ27" s="347" t="str">
        <f>IF(Entrants!N40="Y","",IF(Entrants!N40="","",IF(ISERROR(VLOOKUP( Entrants!N40, Entrants!$Q$144:$Q$161,1,FALSE)),(Entrants!N40),"")))</f>
        <v/>
      </c>
      <c r="AK27" s="347" t="str">
        <f>IF(Entrants!O40="Y","",IF(Entrants!O40="","",IF(ISERROR(VLOOKUP( Entrants!O40, Entrants!$Q$144:$Q$161,1,FALSE)),(Entrants!O40),"")))</f>
        <v/>
      </c>
      <c r="AL27" s="347" t="str">
        <f>IF(Entrants!P40="Y","",IF(Entrants!P40="","",IF(ISERROR(VLOOKUP( Entrants!P40, Entrants!$Q$144:$Q$161,1,FALSE)),(Entrants!P40),"")))</f>
        <v/>
      </c>
      <c r="AM27" s="347" t="str">
        <f>IF(Entrants!Q40="Y","",IF(Entrants!Q40="","",IF(ISERROR(VLOOKUP( Entrants!Q40, Entrants!$Q$144:$Q$161,1,FALSE)),(Entrants!Q40),"")))</f>
        <v/>
      </c>
      <c r="AN27" s="347" t="str">
        <f>IF(LEN(Entrants!R40)&gt;1,Entrants!R40,"")</f>
        <v/>
      </c>
      <c r="AO27" s="347" t="str">
        <f>IF(Entrants!T40="Y","",IF(Entrants!T40="","",IF(ISERROR(VLOOKUP( Entrants!T40, Entrants!$Q$144:$Q$161,1,FALSE)),(Entrants!T40),"")))</f>
        <v/>
      </c>
      <c r="AP27" s="347" t="str">
        <f>IF(LEN(Entrants!V40)&gt;1,Entrants!V40,"")</f>
        <v/>
      </c>
      <c r="AQ27" s="421" t="str">
        <f>Entrants!BH40</f>
        <v/>
      </c>
      <c r="AR27" s="424"/>
      <c r="AS27" s="424"/>
      <c r="AT27" s="424"/>
    </row>
    <row r="28" spans="1:46" s="347" customFormat="1" x14ac:dyDescent="0.25">
      <c r="B28" s="347">
        <f>IF(COUNTBLANK(Entrants!B41)=0,'Team Data'!A$2,0)</f>
        <v>0</v>
      </c>
      <c r="C28" s="347">
        <f>IF(COUNTBLANK(Entrants!B41)=0,Group!$B$8,0)</f>
        <v>0</v>
      </c>
      <c r="E28" s="347" t="str">
        <f>IF(TRIM(PROPER(Entrants!B41))="Zoe","Zoë",TRIM(PROPER(Entrants!B41)))</f>
        <v/>
      </c>
      <c r="F28" s="347" t="str">
        <f>TRIM(PROPER(Entrants!C41))</f>
        <v/>
      </c>
      <c r="G28" s="347">
        <f>IF(AND(Entrants!G41&gt;0,Entrants!G41&lt;1000000000),Entrants!G41,0)</f>
        <v>0</v>
      </c>
      <c r="H28" s="347">
        <f>IF(OR(AND(TYPE(Entrants!H41)=1,Entrants!H41&gt;1000),Entrants!H41="Y"),Entrants!H41,0)</f>
        <v>0</v>
      </c>
      <c r="I28" s="347" t="str">
        <f>UPPER(Entrants!J41)</f>
        <v/>
      </c>
      <c r="J28" s="347" t="str">
        <f>IF(Entrants!E41="F","F","")</f>
        <v/>
      </c>
      <c r="K28" s="347" t="str">
        <f>IF(Entrants!F41="L","L","")</f>
        <v/>
      </c>
      <c r="L28" s="347" t="str">
        <f>IF(Entrants!K41="R",TRUE,"")</f>
        <v/>
      </c>
      <c r="M28" s="347" t="str">
        <f>IF(Entrants!L41="X",TRUE,"")</f>
        <v/>
      </c>
      <c r="N28" s="347" t="str">
        <f>IF(Entrants!L41="N",TRUE,"")</f>
        <v/>
      </c>
      <c r="O28" s="349" t="str">
        <f>IF(Entrants!D41="","",Entrants!D41)</f>
        <v/>
      </c>
      <c r="P28" s="347" t="str">
        <f>IF(COUNTBLANK(Entrants!B41)=0,INT(Entrants!AD41),"")</f>
        <v/>
      </c>
      <c r="Q28" s="347" t="str">
        <f>IF(COUNTBLANK(Entrants!B41)=1,"",IF(P28&lt;14,"J","S"))</f>
        <v/>
      </c>
      <c r="R28" s="347" t="str">
        <f>IF(Entrants!B41="","",IF(Entrants!L41="n","PKEF",IF(Entrants!L41="x","K",TRUE)))</f>
        <v/>
      </c>
      <c r="S28" s="347" t="str">
        <f>IF(LEFT(Entrants!M41,1)="Y",TRUE,"")</f>
        <v/>
      </c>
      <c r="T28" s="347" t="str">
        <f>IF(LEFT(Entrants!N41,1)="Y",TRUE,"")</f>
        <v/>
      </c>
      <c r="U28" s="347" t="str">
        <f>IF(LEFT(Entrants!O41,1)="Y",TRUE,"")</f>
        <v/>
      </c>
      <c r="V28" s="347" t="str">
        <f>IF(LEFT(Entrants!P41,1)="Y",TRUE,"")</f>
        <v/>
      </c>
      <c r="W28" s="347" t="str">
        <f>IF(LEFT(Entrants!Q41,1)="Y",TRUE,"")</f>
        <v/>
      </c>
      <c r="X28" s="347" t="str">
        <f>IF(Entrants!S41="Open",TRUE,"")</f>
        <v/>
      </c>
      <c r="Y28" s="347" t="str">
        <f>IF(Entrants!S41="Sporter",TRUE,"")</f>
        <v/>
      </c>
      <c r="Z28" s="347" t="str">
        <f>IF(COUNTBLANK(Entrants!U41)=1,"",PROPER(Entrants!U41))</f>
        <v/>
      </c>
      <c r="AA28" s="347" t="str">
        <f>IF(LEFT(Entrants!R41)="Y",TRUE,"")</f>
        <v/>
      </c>
      <c r="AB28" s="347" t="str">
        <f>IF(Entrants!V41="Y",TRUE,"")</f>
        <v/>
      </c>
      <c r="AC28" s="347" t="str">
        <f>IF(LEFT(Entrants!W41)="Y",TRUE,"")</f>
        <v/>
      </c>
      <c r="AD28" s="347" t="str">
        <f>IF(Entrants!X41="A",TRUE,"")</f>
        <v/>
      </c>
      <c r="AE28" s="347" t="str">
        <f>IF(Entrants!X41="B",TRUE,"")</f>
        <v/>
      </c>
      <c r="AF28" s="347" t="str">
        <f>IF(Entrants!Y41="A",TRUE,"")</f>
        <v/>
      </c>
      <c r="AG28" s="347" t="str">
        <f>IF(Entrants!Y41="B",TRUE,"")</f>
        <v/>
      </c>
      <c r="AH28" s="347" t="str">
        <f>IF(Entrants!Y41="X",TRUE,"")</f>
        <v/>
      </c>
      <c r="AI28" s="347" t="str">
        <f>IF(Entrants!M41="Y","",IF(Entrants!M41="","",IF(ISERROR(VLOOKUP( Entrants!M41, Entrants!$Q$144:$Q$161,1,FALSE)),(Entrants!M41),"")))</f>
        <v/>
      </c>
      <c r="AJ28" s="347" t="str">
        <f>IF(Entrants!N41="Y","",IF(Entrants!N41="","",IF(ISERROR(VLOOKUP( Entrants!N41, Entrants!$Q$144:$Q$161,1,FALSE)),(Entrants!N41),"")))</f>
        <v/>
      </c>
      <c r="AK28" s="347" t="str">
        <f>IF(Entrants!O41="Y","",IF(Entrants!O41="","",IF(ISERROR(VLOOKUP( Entrants!O41, Entrants!$Q$144:$Q$161,1,FALSE)),(Entrants!O41),"")))</f>
        <v/>
      </c>
      <c r="AL28" s="347" t="str">
        <f>IF(Entrants!P41="Y","",IF(Entrants!P41="","",IF(ISERROR(VLOOKUP( Entrants!P41, Entrants!$Q$144:$Q$161,1,FALSE)),(Entrants!P41),"")))</f>
        <v/>
      </c>
      <c r="AM28" s="347" t="str">
        <f>IF(Entrants!Q41="Y","",IF(Entrants!Q41="","",IF(ISERROR(VLOOKUP( Entrants!Q41, Entrants!$Q$144:$Q$161,1,FALSE)),(Entrants!Q41),"")))</f>
        <v/>
      </c>
      <c r="AN28" s="347" t="str">
        <f>IF(LEN(Entrants!R41)&gt;1,Entrants!R41,"")</f>
        <v/>
      </c>
      <c r="AO28" s="347" t="str">
        <f>IF(Entrants!T41="Y","",IF(Entrants!T41="","",IF(ISERROR(VLOOKUP( Entrants!T41, Entrants!$Q$144:$Q$161,1,FALSE)),(Entrants!T41),"")))</f>
        <v/>
      </c>
      <c r="AP28" s="347" t="str">
        <f>IF(LEN(Entrants!V41)&gt;1,Entrants!V41,"")</f>
        <v/>
      </c>
      <c r="AQ28" s="421" t="str">
        <f>Entrants!BH41</f>
        <v/>
      </c>
      <c r="AR28" s="424"/>
      <c r="AS28" s="424"/>
      <c r="AT28" s="424"/>
    </row>
    <row r="29" spans="1:46" s="347" customFormat="1" x14ac:dyDescent="0.25">
      <c r="B29" s="347">
        <f>IF(COUNTBLANK(Entrants!B42)=0,'Team Data'!A$2,0)</f>
        <v>0</v>
      </c>
      <c r="C29" s="347">
        <f>IF(COUNTBLANK(Entrants!B42)=0,Group!$B$8,0)</f>
        <v>0</v>
      </c>
      <c r="E29" s="347" t="str">
        <f>IF(TRIM(PROPER(Entrants!B42))="Zoe","Zoë",TRIM(PROPER(Entrants!B42)))</f>
        <v/>
      </c>
      <c r="F29" s="347" t="str">
        <f>TRIM(PROPER(Entrants!C42))</f>
        <v/>
      </c>
      <c r="G29" s="347">
        <f>IF(AND(Entrants!G42&gt;0,Entrants!G42&lt;1000000000),Entrants!G42,0)</f>
        <v>0</v>
      </c>
      <c r="H29" s="347">
        <f>IF(OR(AND(TYPE(Entrants!H42)=1,Entrants!H42&gt;1000),Entrants!H42="Y"),Entrants!H42,0)</f>
        <v>0</v>
      </c>
      <c r="I29" s="347" t="str">
        <f>UPPER(Entrants!J42)</f>
        <v/>
      </c>
      <c r="J29" s="347" t="str">
        <f>IF(Entrants!E42="F","F","")</f>
        <v/>
      </c>
      <c r="K29" s="347" t="str">
        <f>IF(Entrants!F42="L","L","")</f>
        <v/>
      </c>
      <c r="L29" s="347" t="str">
        <f>IF(Entrants!K42="R",TRUE,"")</f>
        <v/>
      </c>
      <c r="M29" s="347" t="str">
        <f>IF(Entrants!L42="X",TRUE,"")</f>
        <v/>
      </c>
      <c r="N29" s="347" t="str">
        <f>IF(Entrants!L42="N",TRUE,"")</f>
        <v/>
      </c>
      <c r="O29" s="349" t="str">
        <f>IF(Entrants!D42="","",Entrants!D42)</f>
        <v/>
      </c>
      <c r="P29" s="347" t="str">
        <f>IF(COUNTBLANK(Entrants!B42)=0,INT(Entrants!AD42),"")</f>
        <v/>
      </c>
      <c r="Q29" s="347" t="str">
        <f>IF(COUNTBLANK(Entrants!B42)=1,"",IF(P29&lt;14,"J","S"))</f>
        <v/>
      </c>
      <c r="R29" s="347" t="str">
        <f>IF(Entrants!B42="","",IF(Entrants!L42="n","PKEF",IF(Entrants!L42="x","K",TRUE)))</f>
        <v/>
      </c>
      <c r="S29" s="347" t="str">
        <f>IF(LEFT(Entrants!M42,1)="Y",TRUE,"")</f>
        <v/>
      </c>
      <c r="T29" s="347" t="str">
        <f>IF(LEFT(Entrants!N42,1)="Y",TRUE,"")</f>
        <v/>
      </c>
      <c r="U29" s="347" t="str">
        <f>IF(LEFT(Entrants!O42,1)="Y",TRUE,"")</f>
        <v/>
      </c>
      <c r="V29" s="347" t="str">
        <f>IF(LEFT(Entrants!P42,1)="Y",TRUE,"")</f>
        <v/>
      </c>
      <c r="W29" s="347" t="str">
        <f>IF(LEFT(Entrants!Q42,1)="Y",TRUE,"")</f>
        <v/>
      </c>
      <c r="X29" s="347" t="str">
        <f>IF(Entrants!S42="Open",TRUE,"")</f>
        <v/>
      </c>
      <c r="Y29" s="347" t="str">
        <f>IF(Entrants!S42="Sporter",TRUE,"")</f>
        <v/>
      </c>
      <c r="Z29" s="347" t="str">
        <f>IF(COUNTBLANK(Entrants!U42)=1,"",PROPER(Entrants!U42))</f>
        <v/>
      </c>
      <c r="AA29" s="347" t="str">
        <f>IF(LEFT(Entrants!R42)="Y",TRUE,"")</f>
        <v/>
      </c>
      <c r="AB29" s="347" t="str">
        <f>IF(Entrants!V42="Y",TRUE,"")</f>
        <v/>
      </c>
      <c r="AC29" s="347" t="str">
        <f>IF(LEFT(Entrants!W42)="Y",TRUE,"")</f>
        <v/>
      </c>
      <c r="AD29" s="347" t="str">
        <f>IF(Entrants!X42="A",TRUE,"")</f>
        <v/>
      </c>
      <c r="AE29" s="347" t="str">
        <f>IF(Entrants!X42="B",TRUE,"")</f>
        <v/>
      </c>
      <c r="AF29" s="347" t="str">
        <f>IF(Entrants!Y42="A",TRUE,"")</f>
        <v/>
      </c>
      <c r="AG29" s="347" t="str">
        <f>IF(Entrants!Y42="B",TRUE,"")</f>
        <v/>
      </c>
      <c r="AH29" s="347" t="str">
        <f>IF(Entrants!Y42="X",TRUE,"")</f>
        <v/>
      </c>
      <c r="AI29" s="347" t="str">
        <f>IF(Entrants!M42="Y","",IF(Entrants!M42="","",IF(ISERROR(VLOOKUP( Entrants!M42, Entrants!$Q$144:$Q$161,1,FALSE)),(Entrants!M42),"")))</f>
        <v/>
      </c>
      <c r="AJ29" s="347" t="str">
        <f>IF(Entrants!N42="Y","",IF(Entrants!N42="","",IF(ISERROR(VLOOKUP( Entrants!N42, Entrants!$Q$144:$Q$161,1,FALSE)),(Entrants!N42),"")))</f>
        <v/>
      </c>
      <c r="AK29" s="347" t="str">
        <f>IF(Entrants!O42="Y","",IF(Entrants!O42="","",IF(ISERROR(VLOOKUP( Entrants!O42, Entrants!$Q$144:$Q$161,1,FALSE)),(Entrants!O42),"")))</f>
        <v/>
      </c>
      <c r="AL29" s="347" t="str">
        <f>IF(Entrants!P42="Y","",IF(Entrants!P42="","",IF(ISERROR(VLOOKUP( Entrants!P42, Entrants!$Q$144:$Q$161,1,FALSE)),(Entrants!P42),"")))</f>
        <v/>
      </c>
      <c r="AM29" s="347" t="str">
        <f>IF(Entrants!Q42="Y","",IF(Entrants!Q42="","",IF(ISERROR(VLOOKUP( Entrants!Q42, Entrants!$Q$144:$Q$161,1,FALSE)),(Entrants!Q42),"")))</f>
        <v/>
      </c>
      <c r="AN29" s="347" t="str">
        <f>IF(LEN(Entrants!R42)&gt;1,Entrants!R42,"")</f>
        <v/>
      </c>
      <c r="AO29" s="347" t="str">
        <f>IF(Entrants!T42="Y","",IF(Entrants!T42="","",IF(ISERROR(VLOOKUP( Entrants!T42, Entrants!$Q$144:$Q$161,1,FALSE)),(Entrants!T42),"")))</f>
        <v/>
      </c>
      <c r="AP29" s="347" t="str">
        <f>IF(LEN(Entrants!V42)&gt;1,Entrants!V42,"")</f>
        <v/>
      </c>
      <c r="AQ29" s="421" t="str">
        <f>Entrants!BH42</f>
        <v/>
      </c>
      <c r="AR29" s="424"/>
      <c r="AS29" s="424"/>
      <c r="AT29" s="424"/>
    </row>
    <row r="30" spans="1:46" s="347" customFormat="1" x14ac:dyDescent="0.25">
      <c r="B30" s="347">
        <f>IF(COUNTBLANK(Entrants!B43)=0,'Team Data'!A$2,0)</f>
        <v>0</v>
      </c>
      <c r="C30" s="347">
        <f>IF(COUNTBLANK(Entrants!B43)=0,Group!$B$8,0)</f>
        <v>0</v>
      </c>
      <c r="E30" s="347" t="str">
        <f>IF(TRIM(PROPER(Entrants!B43))="Zoe","Zoë",TRIM(PROPER(Entrants!B43)))</f>
        <v/>
      </c>
      <c r="F30" s="347" t="str">
        <f>TRIM(PROPER(Entrants!C43))</f>
        <v/>
      </c>
      <c r="G30" s="347">
        <f>IF(AND(Entrants!G43&gt;0,Entrants!G43&lt;1000000000),Entrants!G43,0)</f>
        <v>0</v>
      </c>
      <c r="H30" s="347">
        <f>IF(OR(AND(TYPE(Entrants!H43)=1,Entrants!H43&gt;1000),Entrants!H43="Y"),Entrants!H43,0)</f>
        <v>0</v>
      </c>
      <c r="I30" s="347" t="str">
        <f>UPPER(Entrants!J43)</f>
        <v/>
      </c>
      <c r="J30" s="347" t="str">
        <f>IF(Entrants!E43="F","F","")</f>
        <v/>
      </c>
      <c r="K30" s="347" t="str">
        <f>IF(Entrants!F43="L","L","")</f>
        <v/>
      </c>
      <c r="L30" s="347" t="str">
        <f>IF(Entrants!K43="R",TRUE,"")</f>
        <v/>
      </c>
      <c r="M30" s="347" t="str">
        <f>IF(Entrants!L43="X",TRUE,"")</f>
        <v/>
      </c>
      <c r="N30" s="347" t="str">
        <f>IF(Entrants!L43="N",TRUE,"")</f>
        <v/>
      </c>
      <c r="O30" s="348" t="str">
        <f>IF(Entrants!D43="","",Entrants!D43)</f>
        <v/>
      </c>
      <c r="P30" s="347" t="str">
        <f>IF(COUNTBLANK(Entrants!B43)=0,INT(Entrants!AD43),"")</f>
        <v/>
      </c>
      <c r="Q30" s="347" t="str">
        <f>IF(COUNTBLANK(Entrants!B43)=1,"",IF(P30&lt;14,"J","S"))</f>
        <v/>
      </c>
      <c r="R30" s="347" t="str">
        <f>IF(Entrants!B43="","",IF(Entrants!L43="n","PKEF",IF(Entrants!L43="x","K",TRUE)))</f>
        <v/>
      </c>
      <c r="S30" s="347" t="str">
        <f>IF(LEFT(Entrants!M43,1)="Y",TRUE,"")</f>
        <v/>
      </c>
      <c r="T30" s="347" t="str">
        <f>IF(LEFT(Entrants!N43,1)="Y",TRUE,"")</f>
        <v/>
      </c>
      <c r="U30" s="347" t="str">
        <f>IF(LEFT(Entrants!O43,1)="Y",TRUE,"")</f>
        <v/>
      </c>
      <c r="V30" s="347" t="str">
        <f>IF(LEFT(Entrants!P43,1)="Y",TRUE,"")</f>
        <v/>
      </c>
      <c r="W30" s="347" t="str">
        <f>IF(LEFT(Entrants!Q43,1)="Y",TRUE,"")</f>
        <v/>
      </c>
      <c r="X30" s="347" t="str">
        <f>IF(Entrants!S43="Open",TRUE,"")</f>
        <v/>
      </c>
      <c r="Y30" s="347" t="str">
        <f>IF(Entrants!S43="Sporter",TRUE,"")</f>
        <v/>
      </c>
      <c r="Z30" s="347" t="str">
        <f>IF(COUNTBLANK(Entrants!U43)=1,"",PROPER(Entrants!U43))</f>
        <v/>
      </c>
      <c r="AA30" s="347" t="str">
        <f>IF(LEFT(Entrants!R43)="Y",TRUE,"")</f>
        <v/>
      </c>
      <c r="AB30" s="347" t="str">
        <f>IF(Entrants!V43="Y",TRUE,"")</f>
        <v/>
      </c>
      <c r="AC30" s="347" t="str">
        <f>IF(LEFT(Entrants!W43)="Y",TRUE,"")</f>
        <v/>
      </c>
      <c r="AD30" s="347" t="str">
        <f>IF(Entrants!X43="A",TRUE,"")</f>
        <v/>
      </c>
      <c r="AE30" s="347" t="str">
        <f>IF(Entrants!X43="B",TRUE,"")</f>
        <v/>
      </c>
      <c r="AF30" s="347" t="str">
        <f>IF(Entrants!Y43="A",TRUE,"")</f>
        <v/>
      </c>
      <c r="AG30" s="347" t="str">
        <f>IF(Entrants!Y43="B",TRUE,"")</f>
        <v/>
      </c>
      <c r="AH30" s="347" t="str">
        <f>IF(Entrants!Y43="X",TRUE,"")</f>
        <v/>
      </c>
      <c r="AI30" s="347" t="str">
        <f>IF(Entrants!M43="Y","",IF(Entrants!M43="","",IF(ISERROR(VLOOKUP( Entrants!M43, Entrants!$Q$144:$Q$161,1,FALSE)),(Entrants!M43),"")))</f>
        <v/>
      </c>
      <c r="AJ30" s="347" t="str">
        <f>IF(Entrants!N43="Y","",IF(Entrants!N43="","",IF(ISERROR(VLOOKUP( Entrants!N43, Entrants!$Q$144:$Q$161,1,FALSE)),(Entrants!N43),"")))</f>
        <v/>
      </c>
      <c r="AK30" s="347" t="str">
        <f>IF(Entrants!O43="Y","",IF(Entrants!O43="","",IF(ISERROR(VLOOKUP( Entrants!O43, Entrants!$Q$144:$Q$161,1,FALSE)),(Entrants!O43),"")))</f>
        <v/>
      </c>
      <c r="AL30" s="347" t="str">
        <f>IF(Entrants!P43="Y","",IF(Entrants!P43="","",IF(ISERROR(VLOOKUP( Entrants!P43, Entrants!$Q$144:$Q$161,1,FALSE)),(Entrants!P43),"")))</f>
        <v/>
      </c>
      <c r="AM30" s="347" t="str">
        <f>IF(Entrants!Q43="Y","",IF(Entrants!Q43="","",IF(ISERROR(VLOOKUP( Entrants!Q43, Entrants!$Q$144:$Q$161,1,FALSE)),(Entrants!Q43),"")))</f>
        <v/>
      </c>
      <c r="AN30" s="347" t="str">
        <f>IF(LEN(Entrants!R43)&gt;1,Entrants!R43,"")</f>
        <v/>
      </c>
      <c r="AO30" s="347" t="str">
        <f>IF(Entrants!T43="Y","",IF(Entrants!T43="","",IF(ISERROR(VLOOKUP( Entrants!T43, Entrants!$Q$144:$Q$161,1,FALSE)),(Entrants!T43),"")))</f>
        <v/>
      </c>
      <c r="AP30" s="347" t="str">
        <f>IF(LEN(Entrants!V43)&gt;1,Entrants!V43,"")</f>
        <v/>
      </c>
      <c r="AQ30" s="421" t="str">
        <f>Entrants!BH43</f>
        <v/>
      </c>
      <c r="AR30" s="424"/>
      <c r="AS30" s="424"/>
      <c r="AT30" s="424"/>
    </row>
    <row r="32" spans="1:46" x14ac:dyDescent="0.2">
      <c r="A32" s="266" t="s">
        <v>354</v>
      </c>
      <c r="X32" s="266" t="s">
        <v>359</v>
      </c>
    </row>
    <row r="33" spans="1:46" ht="87.75" customHeight="1" x14ac:dyDescent="0.2">
      <c r="A33" s="130"/>
      <c r="B33" s="130" t="s">
        <v>175</v>
      </c>
      <c r="C33" s="130" t="s">
        <v>38</v>
      </c>
      <c r="D33" s="130" t="s">
        <v>176</v>
      </c>
      <c r="E33" s="130" t="s">
        <v>177</v>
      </c>
      <c r="F33" s="130" t="s">
        <v>22</v>
      </c>
      <c r="G33" s="130" t="s">
        <v>277</v>
      </c>
      <c r="H33" s="130" t="s">
        <v>310</v>
      </c>
      <c r="I33" s="130" t="s">
        <v>178</v>
      </c>
      <c r="J33" s="130" t="s">
        <v>179</v>
      </c>
      <c r="K33" s="130" t="s">
        <v>414</v>
      </c>
      <c r="L33" s="130" t="s">
        <v>180</v>
      </c>
      <c r="M33" s="130" t="s">
        <v>181</v>
      </c>
      <c r="N33" s="130" t="s">
        <v>182</v>
      </c>
      <c r="O33" s="130" t="s">
        <v>183</v>
      </c>
      <c r="P33" s="130" t="s">
        <v>281</v>
      </c>
      <c r="Q33" s="130" t="s">
        <v>184</v>
      </c>
      <c r="R33" s="130" t="s">
        <v>185</v>
      </c>
      <c r="S33" s="130" t="s">
        <v>186</v>
      </c>
      <c r="T33" s="130" t="s">
        <v>187</v>
      </c>
      <c r="U33" s="130" t="s">
        <v>188</v>
      </c>
      <c r="V33" s="130" t="s">
        <v>189</v>
      </c>
      <c r="W33" s="130" t="s">
        <v>190</v>
      </c>
      <c r="X33" s="130" t="s">
        <v>351</v>
      </c>
      <c r="Y33" s="130" t="s">
        <v>350</v>
      </c>
      <c r="Z33" s="130" t="s">
        <v>228</v>
      </c>
      <c r="AA33" s="130" t="s">
        <v>15</v>
      </c>
      <c r="AB33" s="130" t="s">
        <v>191</v>
      </c>
      <c r="AC33" s="130" t="s">
        <v>326</v>
      </c>
      <c r="AD33" s="130" t="s">
        <v>192</v>
      </c>
      <c r="AE33" s="130" t="s">
        <v>193</v>
      </c>
      <c r="AF33" s="130" t="s">
        <v>194</v>
      </c>
      <c r="AG33" s="130" t="s">
        <v>195</v>
      </c>
      <c r="AH33" s="130" t="s">
        <v>196</v>
      </c>
      <c r="AI33" s="130" t="s">
        <v>223</v>
      </c>
      <c r="AJ33" s="130" t="s">
        <v>224</v>
      </c>
      <c r="AK33" s="130" t="s">
        <v>225</v>
      </c>
      <c r="AL33" s="130" t="s">
        <v>353</v>
      </c>
      <c r="AM33" s="130" t="s">
        <v>226</v>
      </c>
      <c r="AN33" s="130" t="s">
        <v>352</v>
      </c>
      <c r="AO33" s="130" t="s">
        <v>227</v>
      </c>
      <c r="AP33" s="130" t="s">
        <v>349</v>
      </c>
      <c r="AQ33" s="419" t="s">
        <v>252</v>
      </c>
    </row>
    <row r="34" spans="1:46" ht="13.5" x14ac:dyDescent="0.25">
      <c r="A34" s="425" t="str">
        <f>IF(COUNTBLANK(Supplementary!$C17:$D17)&lt;2,Supplementary!B17,"")</f>
        <v/>
      </c>
      <c r="B34" s="426" t="str">
        <f>IF(COUNTBLANK(Supplementary!$C17:$D17)&lt;2,'Team Data'!A$2,"")</f>
        <v/>
      </c>
      <c r="C34" s="426" t="str">
        <f>IF(COUNTBLANK(Supplementary!$C17:$D17)&lt;2,'Team Data'!C2,"")</f>
        <v/>
      </c>
      <c r="D34" s="426"/>
      <c r="E34" s="426" t="str">
        <f>IF(COUNTBLANK(Supplementary!$C17:$D17)&lt;2,TRIM(PROPER(Supplementary!C17)),"")</f>
        <v/>
      </c>
      <c r="F34" s="426" t="str">
        <f>IF(COUNTBLANK(Supplementary!$C17:$D17)&lt;2,TRIM(PROPER(Supplementary!D17)),"")</f>
        <v/>
      </c>
      <c r="G34" s="425" t="str">
        <f>IF(COUNTBLANK(Supplementary!$C17:$D17)&lt;2,Supplementary!H17,"")</f>
        <v/>
      </c>
      <c r="H34" s="425" t="str">
        <f>IF(COUNTBLANK(Supplementary!$C17:$D17)&lt;2,Supplementary!I17,"")</f>
        <v/>
      </c>
      <c r="I34" s="425" t="str">
        <f>IF(COUNTBLANK(Supplementary!$C17:$D17)&lt;2,Supplementary!K17,"")</f>
        <v/>
      </c>
      <c r="J34" s="425" t="str">
        <f>IF(COUNTBLANK(Supplementary!$C17:$D17)&lt;2,UPPER(Supplementary!F17),"")</f>
        <v/>
      </c>
      <c r="K34" s="425" t="str">
        <f>IF(COUNTBLANK(Supplementary!$C17:$D17)&lt;2,UPPER(Supplementary!G17),"")</f>
        <v/>
      </c>
      <c r="L34" s="425" t="str">
        <f>""</f>
        <v/>
      </c>
      <c r="M34" s="425" t="str">
        <f>IF(COUNTBLANK(Supplementary!$C17:$D17)&lt;2,IF(COUNTBLANK(Supplementary!$C17:$D17)&lt;2,IF(Supplementary!M17="X","X","")),"")</f>
        <v/>
      </c>
      <c r="N34" s="425" t="str">
        <f>IF(COUNTBLANK(Supplementary!$C17:$D17)&lt;2,IF(COUNTBLANK(Supplementary!$C17:$D17)&lt;2,IF(Supplementary!M17="N","N","")),"")</f>
        <v/>
      </c>
      <c r="O34" s="427" t="str">
        <f>IF(COUNTBLANK(Supplementary!$C17:$D17)&lt;2,IF(Supplementary!E17=0,0,Supplementary!E17),"")</f>
        <v/>
      </c>
      <c r="P34" s="426" t="str">
        <f>IF(COUNTBLANK(Supplementary!C17)=0,INT(Supplementary!AF17),"")</f>
        <v/>
      </c>
      <c r="Q34" s="425" t="str">
        <f>IF(COUNTBLANK(Supplementary!C17)=1,"",IF(P34&lt;14,"J","S"))</f>
        <v/>
      </c>
      <c r="R34" s="425" t="str">
        <f>IF(Supplementary!C17="","",IF(M34="X","K",IF(N34="N","PKEF","TRUE")))</f>
        <v/>
      </c>
      <c r="S34" s="425" t="str">
        <f>IF(LEFT(Supplementary!N17,1)="Y","TRUE","")</f>
        <v/>
      </c>
      <c r="T34" s="425" t="str">
        <f>IF(LEFT(Supplementary!O17,1)="Y","TRUE","")</f>
        <v/>
      </c>
      <c r="U34" s="425" t="str">
        <f>IF(LEFT(Supplementary!P17,1)="Y","TRUE","")</f>
        <v/>
      </c>
      <c r="V34" s="425" t="str">
        <f>IF(LEFT(Supplementary!Q17,1)="Y","TRUE","")</f>
        <v/>
      </c>
      <c r="W34" s="425" t="str">
        <f>IF(LEFT(Supplementary!R17,1)="Y","TRUE","")</f>
        <v/>
      </c>
      <c r="X34" s="425" t="str">
        <f>IF(Supplementary!T17="Open","TRUE","")</f>
        <v/>
      </c>
      <c r="Y34" s="425" t="str">
        <f>IF(Supplementary!T17="Sporter","TRUE","")</f>
        <v/>
      </c>
      <c r="Z34" s="425" t="str">
        <f>IF(COUNTBLANK(X34:Y34)=1,TRIM(PROPER(Supplementary!V17)),"")</f>
        <v/>
      </c>
      <c r="AA34" s="425" t="str">
        <f>IF(LEFT(Supplementary!S17,1)="Y","TRUE","")</f>
        <v/>
      </c>
      <c r="AB34" s="425" t="str">
        <f>IF(LEFT(Supplementary!X17,1)="Y","TRUE","")</f>
        <v/>
      </c>
      <c r="AC34" s="425" t="str">
        <f>IF(LEFT(Supplementary!W17,1)="Y","TRUE","")</f>
        <v/>
      </c>
      <c r="AD34" s="425" t="str">
        <f>IF(Supplementary!Y17="A","TRUE","")</f>
        <v/>
      </c>
      <c r="AE34" s="425" t="str">
        <f>IF(Supplementary!Y17="B","TRUE","")</f>
        <v/>
      </c>
      <c r="AF34" s="425" t="str">
        <f>IF(Supplementary!Z17="A","TRUE","")</f>
        <v/>
      </c>
      <c r="AG34" s="425" t="str">
        <f>IF(Supplementary!Z17="B","TRUE","")</f>
        <v/>
      </c>
      <c r="AH34" s="425" t="str">
        <f>IF(Supplementary!Z17="X","TRUE","")</f>
        <v/>
      </c>
      <c r="AI34" s="425" t="str">
        <f>IF(LEN(Supplementary!N17)&gt;1,Supplementary!N17,"")</f>
        <v/>
      </c>
      <c r="AJ34" s="425" t="str">
        <f>IF(LEN(Supplementary!O17)&gt;1,Supplementary!O17,"")</f>
        <v/>
      </c>
      <c r="AK34" s="425" t="str">
        <f>IF(LEN(Supplementary!P17)&gt;1,Supplementary!P17,"")</f>
        <v/>
      </c>
      <c r="AL34" s="425" t="str">
        <f>IF(LEN(Supplementary!Q17)&gt;1,Supplementary!Q17,"")</f>
        <v/>
      </c>
      <c r="AM34" s="425" t="str">
        <f>IF(LEN(Supplementary!R17)&gt;1,Supplementary!R17,"")</f>
        <v/>
      </c>
      <c r="AN34" s="425" t="str">
        <f>IF(LEN(Supplementary!S17)&gt;1,Supplementary!S17,"")</f>
        <v/>
      </c>
      <c r="AO34" s="425" t="str">
        <f>IF(LEN(Supplementary!U17)&gt;1,Supplementary!U17,"")</f>
        <v/>
      </c>
      <c r="AP34" s="425" t="str">
        <f>IF(LEN(Supplementary!W17)&gt;1,Supplementary!W17,"")</f>
        <v/>
      </c>
      <c r="AQ34" s="425" t="str">
        <f>IF(COUNTBLANK(Supplementary!$C17:$D17)&lt;2,Supplementary!AQ17,"")</f>
        <v/>
      </c>
    </row>
    <row r="35" spans="1:46" ht="13.5" x14ac:dyDescent="0.25">
      <c r="A35" s="425" t="str">
        <f>IF(COUNTBLANK(Supplementary!$C18:$D18)&lt;2,Supplementary!B18,"")</f>
        <v/>
      </c>
      <c r="B35" s="426" t="str">
        <f>IF(COUNTBLANK(Supplementary!$C18:$D18)&lt;2,'Team Data'!A$2,"")</f>
        <v/>
      </c>
      <c r="C35" s="426" t="str">
        <f>IF(COUNTBLANK(Supplementary!$C18:$D18)&lt;2,'Team Data'!C3,"")</f>
        <v/>
      </c>
      <c r="D35" s="426"/>
      <c r="E35" s="426" t="str">
        <f>IF(COUNTBLANK(Supplementary!$C18:$D18)&lt;2,TRIM(PROPER(Supplementary!C18)),"")</f>
        <v/>
      </c>
      <c r="F35" s="426" t="str">
        <f>IF(COUNTBLANK(Supplementary!$C18:$D18)&lt;2,TRIM(PROPER(Supplementary!D18)),"")</f>
        <v/>
      </c>
      <c r="G35" s="425" t="str">
        <f>IF(COUNTBLANK(Supplementary!$C18:$D18)&lt;2,Supplementary!H18,"")</f>
        <v/>
      </c>
      <c r="H35" s="425" t="str">
        <f>IF(COUNTBLANK(Supplementary!$C18:$D18)&lt;2,Supplementary!I18,"")</f>
        <v/>
      </c>
      <c r="I35" s="425" t="str">
        <f>IF(COUNTBLANK(Supplementary!$C18:$D18)&lt;2,Supplementary!K18,"")</f>
        <v/>
      </c>
      <c r="J35" s="425" t="str">
        <f>IF(COUNTBLANK(Supplementary!$C18:$D18)&lt;2,UPPER(Supplementary!F18),"")</f>
        <v/>
      </c>
      <c r="K35" s="425" t="str">
        <f>IF(COUNTBLANK(Supplementary!$C18:$D18)&lt;2,UPPER(Supplementary!G18),"")</f>
        <v/>
      </c>
      <c r="L35" s="425" t="str">
        <f>""</f>
        <v/>
      </c>
      <c r="M35" s="425" t="str">
        <f>IF(COUNTBLANK(Supplementary!$C18:$D18)&lt;2,IF(COUNTBLANK(Supplementary!$C18:$D18)&lt;2,IF(Supplementary!M18="X","X","")),"")</f>
        <v/>
      </c>
      <c r="N35" s="425" t="str">
        <f>IF(COUNTBLANK(Supplementary!$C18:$D18)&lt;2,IF(COUNTBLANK(Supplementary!$C18:$D18)&lt;2,IF(Supplementary!M18="N","N","")),"")</f>
        <v/>
      </c>
      <c r="O35" s="427" t="str">
        <f>IF(COUNTBLANK(Supplementary!$C18:$D18)&lt;2,IF(Supplementary!E18=0,0,Supplementary!E18),"")</f>
        <v/>
      </c>
      <c r="P35" s="426" t="str">
        <f>IF(COUNTBLANK(Supplementary!C18)=0,INT(Supplementary!AF18),"")</f>
        <v/>
      </c>
      <c r="Q35" s="425" t="str">
        <f>IF(COUNTBLANK(Supplementary!C18)=1,"",IF(P35&lt;14,"J","S"))</f>
        <v/>
      </c>
      <c r="R35" s="425" t="str">
        <f>IF(Supplementary!C18="","",IF(M35="X","K",IF(N35="N","PKEF","TRUE")))</f>
        <v/>
      </c>
      <c r="S35" s="425" t="str">
        <f>IF(LEFT(Supplementary!N18,1)="Y","TRUE","")</f>
        <v/>
      </c>
      <c r="T35" s="425" t="str">
        <f>IF(LEFT(Supplementary!O18,1)="Y","TRUE","")</f>
        <v/>
      </c>
      <c r="U35" s="425" t="str">
        <f>IF(LEFT(Supplementary!P18,1)="Y","TRUE","")</f>
        <v/>
      </c>
      <c r="V35" s="425" t="str">
        <f>IF(LEFT(Supplementary!Q18,1)="Y","TRUE","")</f>
        <v/>
      </c>
      <c r="W35" s="425" t="str">
        <f>IF(LEFT(Supplementary!R18,1)="Y","TRUE","")</f>
        <v/>
      </c>
      <c r="X35" s="425" t="str">
        <f>IF(Supplementary!T18="Open","TRUE","")</f>
        <v/>
      </c>
      <c r="Y35" s="425" t="str">
        <f>IF(Supplementary!T18="Sporter","TRUE","")</f>
        <v/>
      </c>
      <c r="Z35" s="425" t="str">
        <f>IF(COUNTBLANK(X35:Y35)=1,TRIM(PROPER(Supplementary!V18)),"")</f>
        <v/>
      </c>
      <c r="AA35" s="425" t="str">
        <f>IF(LEFT(Supplementary!S18,1)="Y","TRUE","")</f>
        <v/>
      </c>
      <c r="AB35" s="425" t="str">
        <f>IF(LEFT(Supplementary!X18,1)="Y","TRUE","")</f>
        <v/>
      </c>
      <c r="AC35" s="425" t="str">
        <f>IF(LEFT(Supplementary!W18,1)="Y","TRUE","")</f>
        <v/>
      </c>
      <c r="AD35" s="425" t="str">
        <f>IF(Supplementary!Y18="A","TRUE","")</f>
        <v/>
      </c>
      <c r="AE35" s="425" t="str">
        <f>IF(Supplementary!Y18="B","TRUE","")</f>
        <v/>
      </c>
      <c r="AF35" s="425" t="str">
        <f>IF(Supplementary!Z18="A","TRUE","")</f>
        <v/>
      </c>
      <c r="AG35" s="425" t="str">
        <f>IF(Supplementary!Z18="B","TRUE","")</f>
        <v/>
      </c>
      <c r="AH35" s="425" t="str">
        <f>IF(Supplementary!Z18="X","TRUE","")</f>
        <v/>
      </c>
      <c r="AI35" s="425" t="str">
        <f>IF(LEN(Supplementary!N18)&gt;1,Supplementary!N18,"")</f>
        <v/>
      </c>
      <c r="AJ35" s="425" t="str">
        <f>IF(LEN(Supplementary!O18)&gt;1,Supplementary!O18,"")</f>
        <v/>
      </c>
      <c r="AK35" s="425" t="str">
        <f>IF(LEN(Supplementary!P18)&gt;1,Supplementary!P18,"")</f>
        <v/>
      </c>
      <c r="AL35" s="425" t="str">
        <f>IF(LEN(Supplementary!Q18)&gt;1,Supplementary!Q18,"")</f>
        <v/>
      </c>
      <c r="AM35" s="425" t="str">
        <f>IF(LEN(Supplementary!R18)&gt;1,Supplementary!R18,"")</f>
        <v/>
      </c>
      <c r="AN35" s="425" t="str">
        <f>IF(LEN(Supplementary!S18)&gt;1,Supplementary!S18,"")</f>
        <v/>
      </c>
      <c r="AO35" s="425" t="str">
        <f>IF(LEN(Supplementary!U18)&gt;1,Supplementary!U18,"")</f>
        <v/>
      </c>
      <c r="AP35" s="425" t="str">
        <f>IF(LEN(Supplementary!W18)&gt;1,Supplementary!W18,"")</f>
        <v/>
      </c>
      <c r="AQ35" s="425" t="str">
        <f>IF(COUNTBLANK(Supplementary!$C18:$D18)&lt;2,Supplementary!AQ18,"")</f>
        <v/>
      </c>
    </row>
    <row r="36" spans="1:46" ht="13.5" x14ac:dyDescent="0.25">
      <c r="A36" s="425" t="str">
        <f>IF(COUNTBLANK(Supplementary!$C19:$D19)&lt;2,Supplementary!B19,"")</f>
        <v/>
      </c>
      <c r="B36" s="426" t="str">
        <f>IF(COUNTBLANK(Supplementary!$C19:$D19)&lt;2,'Team Data'!A$2,"")</f>
        <v/>
      </c>
      <c r="C36" s="426" t="str">
        <f>IF(COUNTBLANK(Supplementary!$C19:$D19)&lt;2,'Team Data'!C4,"")</f>
        <v/>
      </c>
      <c r="D36" s="426"/>
      <c r="E36" s="426" t="str">
        <f>IF(COUNTBLANK(Supplementary!$C19:$D19)&lt;2,TRIM(PROPER(Supplementary!C19)),"")</f>
        <v/>
      </c>
      <c r="F36" s="426" t="str">
        <f>IF(COUNTBLANK(Supplementary!$C19:$D19)&lt;2,TRIM(PROPER(Supplementary!D19)),"")</f>
        <v/>
      </c>
      <c r="G36" s="425" t="str">
        <f>IF(COUNTBLANK(Supplementary!$C19:$D19)&lt;2,Supplementary!H19,"")</f>
        <v/>
      </c>
      <c r="H36" s="425" t="str">
        <f>IF(COUNTBLANK(Supplementary!$C19:$D19)&lt;2,Supplementary!I19,"")</f>
        <v/>
      </c>
      <c r="I36" s="425" t="str">
        <f>IF(COUNTBLANK(Supplementary!$C19:$D19)&lt;2,Supplementary!K19,"")</f>
        <v/>
      </c>
      <c r="J36" s="425" t="str">
        <f>IF(COUNTBLANK(Supplementary!$C19:$D19)&lt;2,UPPER(Supplementary!F19),"")</f>
        <v/>
      </c>
      <c r="K36" s="425" t="str">
        <f>IF(COUNTBLANK(Supplementary!$C19:$D19)&lt;2,UPPER(Supplementary!G19),"")</f>
        <v/>
      </c>
      <c r="L36" s="425" t="str">
        <f>""</f>
        <v/>
      </c>
      <c r="M36" s="425" t="str">
        <f>IF(COUNTBLANK(Supplementary!$C19:$D19)&lt;2,IF(COUNTBLANK(Supplementary!$C19:$D19)&lt;2,IF(Supplementary!M19="X","X","")),"")</f>
        <v/>
      </c>
      <c r="N36" s="425" t="str">
        <f>IF(COUNTBLANK(Supplementary!$C19:$D19)&lt;2,IF(COUNTBLANK(Supplementary!$C19:$D19)&lt;2,IF(Supplementary!M19="N","N","")),"")</f>
        <v/>
      </c>
      <c r="O36" s="427" t="str">
        <f>IF(COUNTBLANK(Supplementary!$C19:$D19)&lt;2,IF(Supplementary!E19=0,0,Supplementary!E19),"")</f>
        <v/>
      </c>
      <c r="P36" s="426" t="str">
        <f>IF(COUNTBLANK(Supplementary!C19)=0,INT(Supplementary!AF19),"")</f>
        <v/>
      </c>
      <c r="Q36" s="425" t="str">
        <f>IF(COUNTBLANK(Supplementary!C19)=1,"",IF(P36&lt;14,"J","S"))</f>
        <v/>
      </c>
      <c r="R36" s="425" t="str">
        <f>IF(Supplementary!C19="","",IF(M36="X","K",IF(N36="N","PKEF","TRUE")))</f>
        <v/>
      </c>
      <c r="S36" s="425" t="str">
        <f>IF(LEFT(Supplementary!N19,1)="Y","TRUE","")</f>
        <v/>
      </c>
      <c r="T36" s="425" t="str">
        <f>IF(LEFT(Supplementary!O19,1)="Y","TRUE","")</f>
        <v/>
      </c>
      <c r="U36" s="425" t="str">
        <f>IF(LEFT(Supplementary!P19,1)="Y","TRUE","")</f>
        <v/>
      </c>
      <c r="V36" s="425" t="str">
        <f>IF(LEFT(Supplementary!Q19,1)="Y","TRUE","")</f>
        <v/>
      </c>
      <c r="W36" s="425" t="str">
        <f>IF(LEFT(Supplementary!R19,1)="Y","TRUE","")</f>
        <v/>
      </c>
      <c r="X36" s="425" t="str">
        <f>IF(Supplementary!T19="Open","TRUE","")</f>
        <v/>
      </c>
      <c r="Y36" s="425" t="str">
        <f>IF(Supplementary!T19="Sporter","TRUE","")</f>
        <v/>
      </c>
      <c r="Z36" s="425" t="str">
        <f>IF(COUNTBLANK(X36:Y36)=1,TRIM(PROPER(Supplementary!V19)),"")</f>
        <v/>
      </c>
      <c r="AA36" s="425" t="str">
        <f>IF(LEFT(Supplementary!S19,1)="Y","TRUE","")</f>
        <v/>
      </c>
      <c r="AB36" s="425" t="str">
        <f>IF(LEFT(Supplementary!X19,1)="Y","TRUE","")</f>
        <v/>
      </c>
      <c r="AC36" s="425" t="str">
        <f>IF(LEFT(Supplementary!W19,1)="Y","TRUE","")</f>
        <v/>
      </c>
      <c r="AD36" s="425" t="str">
        <f>IF(Supplementary!Y19="A","TRUE","")</f>
        <v/>
      </c>
      <c r="AE36" s="425" t="str">
        <f>IF(Supplementary!Y19="B","TRUE","")</f>
        <v/>
      </c>
      <c r="AF36" s="425" t="str">
        <f>IF(Supplementary!Z19="A","TRUE","")</f>
        <v/>
      </c>
      <c r="AG36" s="425" t="str">
        <f>IF(Supplementary!Z19="B","TRUE","")</f>
        <v/>
      </c>
      <c r="AH36" s="425" t="str">
        <f>IF(Supplementary!Z19="X","TRUE","")</f>
        <v/>
      </c>
      <c r="AI36" s="425" t="str">
        <f>IF(LEN(Supplementary!N19)&gt;1,Supplementary!N19,"")</f>
        <v/>
      </c>
      <c r="AJ36" s="425" t="str">
        <f>IF(LEN(Supplementary!O19)&gt;1,Supplementary!O19,"")</f>
        <v/>
      </c>
      <c r="AK36" s="425" t="str">
        <f>IF(LEN(Supplementary!P19)&gt;1,Supplementary!P19,"")</f>
        <v/>
      </c>
      <c r="AL36" s="425" t="str">
        <f>IF(LEN(Supplementary!Q19)&gt;1,Supplementary!Q19,"")</f>
        <v/>
      </c>
      <c r="AM36" s="425" t="str">
        <f>IF(LEN(Supplementary!R19)&gt;1,Supplementary!R19,"")</f>
        <v/>
      </c>
      <c r="AN36" s="425" t="str">
        <f>IF(LEN(Supplementary!S19)&gt;1,Supplementary!S19,"")</f>
        <v/>
      </c>
      <c r="AO36" s="425" t="str">
        <f>IF(LEN(Supplementary!U19)&gt;1,Supplementary!U19,"")</f>
        <v/>
      </c>
      <c r="AP36" s="425" t="str">
        <f>IF(LEN(Supplementary!W19)&gt;1,Supplementary!W19,"")</f>
        <v/>
      </c>
      <c r="AQ36" s="425" t="str">
        <f>IF(COUNTBLANK(Supplementary!$C19:$D19)&lt;2,Supplementary!AQ19,"")</f>
        <v/>
      </c>
    </row>
    <row r="37" spans="1:46" s="266" customFormat="1" ht="13.5" x14ac:dyDescent="0.25">
      <c r="A37" s="425" t="str">
        <f>IF(COUNTBLANK(Supplementary!$C20:$D20)&lt;2,Supplementary!B20,"")</f>
        <v/>
      </c>
      <c r="B37" s="426" t="str">
        <f>IF(COUNTBLANK(Supplementary!$C20:$D20)&lt;2,'Team Data'!A$2,"")</f>
        <v/>
      </c>
      <c r="C37" s="426" t="str">
        <f>IF(COUNTBLANK(Supplementary!$C20:$D20)&lt;2,'Team Data'!C5,"")</f>
        <v/>
      </c>
      <c r="D37" s="426"/>
      <c r="E37" s="426" t="str">
        <f>IF(COUNTBLANK(Supplementary!$C20:$D20)&lt;2,TRIM(PROPER(Supplementary!C20)),"")</f>
        <v/>
      </c>
      <c r="F37" s="426" t="str">
        <f>IF(COUNTBLANK(Supplementary!$C20:$D20)&lt;2,TRIM(PROPER(Supplementary!D20)),"")</f>
        <v/>
      </c>
      <c r="G37" s="425" t="str">
        <f>IF(COUNTBLANK(Supplementary!$C20:$D20)&lt;2,Supplementary!H20,"")</f>
        <v/>
      </c>
      <c r="H37" s="425" t="str">
        <f>IF(COUNTBLANK(Supplementary!$C20:$D20)&lt;2,Supplementary!I20,"")</f>
        <v/>
      </c>
      <c r="I37" s="425" t="str">
        <f>IF(COUNTBLANK(Supplementary!$C20:$D20)&lt;2,Supplementary!K20,"")</f>
        <v/>
      </c>
      <c r="J37" s="425" t="str">
        <f>IF(COUNTBLANK(Supplementary!$C20:$D20)&lt;2,UPPER(Supplementary!F20),"")</f>
        <v/>
      </c>
      <c r="K37" s="425" t="str">
        <f>IF(COUNTBLANK(Supplementary!$C20:$D20)&lt;2,UPPER(Supplementary!G20),"")</f>
        <v/>
      </c>
      <c r="L37" s="425" t="str">
        <f>""</f>
        <v/>
      </c>
      <c r="M37" s="425" t="str">
        <f>IF(COUNTBLANK(Supplementary!$C20:$D20)&lt;2,IF(COUNTBLANK(Supplementary!$C20:$D20)&lt;2,IF(Supplementary!M20="X","X","")),"")</f>
        <v/>
      </c>
      <c r="N37" s="425" t="str">
        <f>IF(COUNTBLANK(Supplementary!$C20:$D20)&lt;2,IF(COUNTBLANK(Supplementary!$C20:$D20)&lt;2,IF(Supplementary!M20="N","N","")),"")</f>
        <v/>
      </c>
      <c r="O37" s="427" t="str">
        <f>IF(COUNTBLANK(Supplementary!$C20:$D20)&lt;2,IF(Supplementary!E20=0,0,Supplementary!E20),"")</f>
        <v/>
      </c>
      <c r="P37" s="426" t="str">
        <f>IF(COUNTBLANK(Supplementary!C20)=0,INT(Supplementary!AF20),"")</f>
        <v/>
      </c>
      <c r="Q37" s="425" t="str">
        <f>IF(COUNTBLANK(Supplementary!C20)=1,"",IF(P37&lt;14,"J","S"))</f>
        <v/>
      </c>
      <c r="R37" s="425" t="str">
        <f>IF(Supplementary!C20="","",IF(M37="X","K",IF(N37="N","PKEF","TRUE")))</f>
        <v/>
      </c>
      <c r="S37" s="425" t="str">
        <f>IF(LEFT(Supplementary!N20,1)="Y","TRUE","")</f>
        <v/>
      </c>
      <c r="T37" s="425" t="str">
        <f>IF(LEFT(Supplementary!O20,1)="Y","TRUE","")</f>
        <v/>
      </c>
      <c r="U37" s="425" t="str">
        <f>IF(LEFT(Supplementary!P20,1)="Y","TRUE","")</f>
        <v/>
      </c>
      <c r="V37" s="425" t="str">
        <f>IF(LEFT(Supplementary!Q20,1)="Y","TRUE","")</f>
        <v/>
      </c>
      <c r="W37" s="425" t="str">
        <f>IF(LEFT(Supplementary!R20,1)="Y","TRUE","")</f>
        <v/>
      </c>
      <c r="X37" s="425" t="str">
        <f>IF(Supplementary!T20="Open","TRUE","")</f>
        <v/>
      </c>
      <c r="Y37" s="425" t="str">
        <f>IF(Supplementary!T20="Sporter","TRUE","")</f>
        <v/>
      </c>
      <c r="Z37" s="425" t="str">
        <f>IF(COUNTBLANK(X37:Y37)=1,TRIM(PROPER(Supplementary!V20)),"")</f>
        <v/>
      </c>
      <c r="AA37" s="425" t="str">
        <f>IF(LEFT(Supplementary!S20,1)="Y","TRUE","")</f>
        <v/>
      </c>
      <c r="AB37" s="425" t="str">
        <f>IF(LEFT(Supplementary!X20,1)="Y","TRUE","")</f>
        <v/>
      </c>
      <c r="AC37" s="425" t="str">
        <f>IF(LEFT(Supplementary!W20,1)="Y","TRUE","")</f>
        <v/>
      </c>
      <c r="AD37" s="425" t="str">
        <f>IF(Supplementary!Y20="A","TRUE","")</f>
        <v/>
      </c>
      <c r="AE37" s="425" t="str">
        <f>IF(Supplementary!Y20="B","TRUE","")</f>
        <v/>
      </c>
      <c r="AF37" s="425" t="str">
        <f>IF(Supplementary!Z20="A","TRUE","")</f>
        <v/>
      </c>
      <c r="AG37" s="425" t="str">
        <f>IF(Supplementary!Z20="B","TRUE","")</f>
        <v/>
      </c>
      <c r="AH37" s="425" t="str">
        <f>IF(Supplementary!Z20="X","TRUE","")</f>
        <v/>
      </c>
      <c r="AI37" s="425" t="str">
        <f>IF(LEN(Supplementary!N20)&gt;1,Supplementary!N20,"")</f>
        <v/>
      </c>
      <c r="AJ37" s="425" t="str">
        <f>IF(LEN(Supplementary!O20)&gt;1,Supplementary!O20,"")</f>
        <v/>
      </c>
      <c r="AK37" s="425" t="str">
        <f>IF(LEN(Supplementary!P20)&gt;1,Supplementary!P20,"")</f>
        <v/>
      </c>
      <c r="AL37" s="425" t="str">
        <f>IF(LEN(Supplementary!Q20)&gt;1,Supplementary!Q20,"")</f>
        <v/>
      </c>
      <c r="AM37" s="425" t="str">
        <f>IF(LEN(Supplementary!R20)&gt;1,Supplementary!R20,"")</f>
        <v/>
      </c>
      <c r="AN37" s="425" t="str">
        <f>IF(LEN(Supplementary!S20)&gt;1,Supplementary!S20,"")</f>
        <v/>
      </c>
      <c r="AO37" s="425" t="str">
        <f>IF(LEN(Supplementary!U20)&gt;1,Supplementary!U20,"")</f>
        <v/>
      </c>
      <c r="AP37" s="425" t="str">
        <f>IF(LEN(Supplementary!W20)&gt;1,Supplementary!W20,"")</f>
        <v/>
      </c>
      <c r="AQ37" s="425" t="str">
        <f>IF(COUNTBLANK(Supplementary!$C20:$D20)&lt;2,Supplementary!AQ20,"")</f>
        <v/>
      </c>
      <c r="AR37" s="391"/>
      <c r="AS37" s="391"/>
      <c r="AT37" s="391"/>
    </row>
    <row r="38" spans="1:46" ht="13.5" x14ac:dyDescent="0.25">
      <c r="A38" s="425" t="str">
        <f>IF(COUNTBLANK(Supplementary!$C21:$D21)&lt;2,Supplementary!B21,"")</f>
        <v/>
      </c>
      <c r="B38" s="426" t="str">
        <f>IF(COUNTBLANK(Supplementary!$C21:$D21)&lt;2,'Team Data'!A$2,"")</f>
        <v/>
      </c>
      <c r="C38" s="426" t="str">
        <f>IF(COUNTBLANK(Supplementary!$C21:$D21)&lt;2,'Team Data'!C6,"")</f>
        <v/>
      </c>
      <c r="D38" s="426"/>
      <c r="E38" s="426" t="str">
        <f>IF(COUNTBLANK(Supplementary!$C21:$D21)&lt;2,TRIM(PROPER(Supplementary!C21)),"")</f>
        <v/>
      </c>
      <c r="F38" s="426" t="str">
        <f>IF(COUNTBLANK(Supplementary!$C21:$D21)&lt;2,TRIM(PROPER(Supplementary!D21)),"")</f>
        <v/>
      </c>
      <c r="G38" s="425" t="str">
        <f>IF(COUNTBLANK(Supplementary!$C21:$D21)&lt;2,Supplementary!H21,"")</f>
        <v/>
      </c>
      <c r="H38" s="425" t="str">
        <f>IF(COUNTBLANK(Supplementary!$C21:$D21)&lt;2,Supplementary!I21,"")</f>
        <v/>
      </c>
      <c r="I38" s="425" t="str">
        <f>IF(COUNTBLANK(Supplementary!$C21:$D21)&lt;2,Supplementary!K21,"")</f>
        <v/>
      </c>
      <c r="J38" s="425" t="str">
        <f>IF(COUNTBLANK(Supplementary!$C21:$D21)&lt;2,UPPER(Supplementary!F21),"")</f>
        <v/>
      </c>
      <c r="K38" s="425" t="str">
        <f>IF(COUNTBLANK(Supplementary!$C21:$D21)&lt;2,UPPER(Supplementary!G21),"")</f>
        <v/>
      </c>
      <c r="L38" s="425" t="str">
        <f>""</f>
        <v/>
      </c>
      <c r="M38" s="425" t="str">
        <f>IF(COUNTBLANK(Supplementary!$C21:$D21)&lt;2,IF(COUNTBLANK(Supplementary!$C21:$D21)&lt;2,IF(Supplementary!M21="X","X","")),"")</f>
        <v/>
      </c>
      <c r="N38" s="425" t="str">
        <f>IF(COUNTBLANK(Supplementary!$C21:$D21)&lt;2,IF(COUNTBLANK(Supplementary!$C21:$D21)&lt;2,IF(Supplementary!M21="N","N","")),"")</f>
        <v/>
      </c>
      <c r="O38" s="427" t="str">
        <f>IF(COUNTBLANK(Supplementary!$C21:$D21)&lt;2,IF(Supplementary!E21=0,0,Supplementary!E21),"")</f>
        <v/>
      </c>
      <c r="P38" s="426" t="str">
        <f>IF(COUNTBLANK(Supplementary!C21)=0,INT(Supplementary!AF21),"")</f>
        <v/>
      </c>
      <c r="Q38" s="425" t="str">
        <f>IF(COUNTBLANK(Supplementary!C21)=1,"",IF(P38&lt;14,"J","S"))</f>
        <v/>
      </c>
      <c r="R38" s="425" t="str">
        <f>IF(Supplementary!C21="","",IF(M38="X","K",IF(N38="N","PKEF","TRUE")))</f>
        <v/>
      </c>
      <c r="S38" s="425" t="str">
        <f>IF(LEFT(Supplementary!N21,1)="Y","TRUE","")</f>
        <v/>
      </c>
      <c r="T38" s="425" t="str">
        <f>IF(LEFT(Supplementary!O21,1)="Y","TRUE","")</f>
        <v/>
      </c>
      <c r="U38" s="425" t="str">
        <f>IF(LEFT(Supplementary!P21,1)="Y","TRUE","")</f>
        <v/>
      </c>
      <c r="V38" s="425" t="str">
        <f>IF(LEFT(Supplementary!Q21,1)="Y","TRUE","")</f>
        <v/>
      </c>
      <c r="W38" s="425" t="str">
        <f>IF(LEFT(Supplementary!R21,1)="Y","TRUE","")</f>
        <v/>
      </c>
      <c r="X38" s="425" t="str">
        <f>IF(Supplementary!T21="Open","TRUE","")</f>
        <v/>
      </c>
      <c r="Y38" s="425" t="str">
        <f>IF(Supplementary!T21="Sporter","TRUE","")</f>
        <v/>
      </c>
      <c r="Z38" s="425" t="str">
        <f>IF(COUNTBLANK(X38:Y38)=1,TRIM(PROPER(Supplementary!V21)),"")</f>
        <v/>
      </c>
      <c r="AA38" s="425" t="str">
        <f>IF(LEFT(Supplementary!S21,1)="Y","TRUE","")</f>
        <v/>
      </c>
      <c r="AB38" s="425" t="str">
        <f>IF(LEFT(Supplementary!X21,1)="Y","TRUE","")</f>
        <v/>
      </c>
      <c r="AC38" s="425" t="str">
        <f>IF(LEFT(Supplementary!W21,1)="Y","TRUE","")</f>
        <v/>
      </c>
      <c r="AD38" s="425" t="str">
        <f>IF(Supplementary!Y21="A","TRUE","")</f>
        <v/>
      </c>
      <c r="AE38" s="425" t="str">
        <f>IF(Supplementary!Y21="B","TRUE","")</f>
        <v/>
      </c>
      <c r="AF38" s="425" t="str">
        <f>IF(Supplementary!Z21="A","TRUE","")</f>
        <v/>
      </c>
      <c r="AG38" s="425" t="str">
        <f>IF(Supplementary!Z21="B","TRUE","")</f>
        <v/>
      </c>
      <c r="AH38" s="425" t="str">
        <f>IF(Supplementary!Z21="X","TRUE","")</f>
        <v/>
      </c>
      <c r="AI38" s="425" t="str">
        <f>IF(LEN(Supplementary!N21)&gt;1,Supplementary!N21,"")</f>
        <v/>
      </c>
      <c r="AJ38" s="425" t="str">
        <f>IF(LEN(Supplementary!O21)&gt;1,Supplementary!O21,"")</f>
        <v/>
      </c>
      <c r="AK38" s="425" t="str">
        <f>IF(LEN(Supplementary!P21)&gt;1,Supplementary!P21,"")</f>
        <v/>
      </c>
      <c r="AL38" s="425" t="str">
        <f>IF(LEN(Supplementary!Q21)&gt;1,Supplementary!Q21,"")</f>
        <v/>
      </c>
      <c r="AM38" s="425" t="str">
        <f>IF(LEN(Supplementary!R21)&gt;1,Supplementary!R21,"")</f>
        <v/>
      </c>
      <c r="AN38" s="425" t="str">
        <f>IF(LEN(Supplementary!S21)&gt;1,Supplementary!S21,"")</f>
        <v/>
      </c>
      <c r="AO38" s="425" t="str">
        <f>IF(LEN(Supplementary!U21)&gt;1,Supplementary!U21,"")</f>
        <v/>
      </c>
      <c r="AP38" s="425" t="str">
        <f>IF(LEN(Supplementary!W21)&gt;1,Supplementary!W21,"")</f>
        <v/>
      </c>
      <c r="AQ38" s="425" t="str">
        <f>IF(COUNTBLANK(Supplementary!$C21:$D21)&lt;2,Supplementary!AQ21,"")</f>
        <v/>
      </c>
    </row>
    <row r="39" spans="1:46" ht="13.5" x14ac:dyDescent="0.25">
      <c r="A39" s="425" t="str">
        <f>IF(COUNTBLANK(Supplementary!$C22:$D22)&lt;2,Supplementary!B22,"")</f>
        <v/>
      </c>
      <c r="B39" s="426" t="str">
        <f>IF(COUNTBLANK(Supplementary!$C22:$D22)&lt;2,'Team Data'!A$2,"")</f>
        <v/>
      </c>
      <c r="C39" s="426" t="str">
        <f>IF(COUNTBLANK(Supplementary!$C22:$D22)&lt;2,'Team Data'!C7,"")</f>
        <v/>
      </c>
      <c r="D39" s="426"/>
      <c r="E39" s="426" t="str">
        <f>IF(COUNTBLANK(Supplementary!$C22:$D22)&lt;2,TRIM(PROPER(Supplementary!C22)),"")</f>
        <v/>
      </c>
      <c r="F39" s="426" t="str">
        <f>IF(COUNTBLANK(Supplementary!$C22:$D22)&lt;2,TRIM(PROPER(Supplementary!D22)),"")</f>
        <v/>
      </c>
      <c r="G39" s="425" t="str">
        <f>IF(COUNTBLANK(Supplementary!$C22:$D22)&lt;2,Supplementary!H22,"")</f>
        <v/>
      </c>
      <c r="H39" s="425" t="str">
        <f>IF(COUNTBLANK(Supplementary!$C22:$D22)&lt;2,Supplementary!I22,"")</f>
        <v/>
      </c>
      <c r="I39" s="425" t="str">
        <f>IF(COUNTBLANK(Supplementary!$C22:$D22)&lt;2,Supplementary!K22,"")</f>
        <v/>
      </c>
      <c r="J39" s="425" t="str">
        <f>IF(COUNTBLANK(Supplementary!$C22:$D22)&lt;2,UPPER(Supplementary!F22),"")</f>
        <v/>
      </c>
      <c r="K39" s="425" t="str">
        <f>IF(COUNTBLANK(Supplementary!$C22:$D22)&lt;2,UPPER(Supplementary!G22),"")</f>
        <v/>
      </c>
      <c r="L39" s="425" t="str">
        <f>""</f>
        <v/>
      </c>
      <c r="M39" s="425" t="str">
        <f>IF(COUNTBLANK(Supplementary!$C22:$D22)&lt;2,IF(COUNTBLANK(Supplementary!$C22:$D22)&lt;2,IF(Supplementary!M22="X","X","")),"")</f>
        <v/>
      </c>
      <c r="N39" s="425" t="str">
        <f>IF(COUNTBLANK(Supplementary!$C22:$D22)&lt;2,IF(COUNTBLANK(Supplementary!$C22:$D22)&lt;2,IF(Supplementary!M22="N","N","")),"")</f>
        <v/>
      </c>
      <c r="O39" s="427" t="str">
        <f>IF(COUNTBLANK(Supplementary!$C22:$D22)&lt;2,IF(Supplementary!E22=0,0,Supplementary!E22),"")</f>
        <v/>
      </c>
      <c r="P39" s="426" t="str">
        <f>IF(COUNTBLANK(Supplementary!C22)=0,INT(Supplementary!AF22),"")</f>
        <v/>
      </c>
      <c r="Q39" s="425" t="str">
        <f>IF(COUNTBLANK(Supplementary!C22)=1,"",IF(P39&lt;14,"J","S"))</f>
        <v/>
      </c>
      <c r="R39" s="425" t="str">
        <f>IF(Supplementary!C22="","",IF(M39="X","K",IF(N39="N","PKEF","TRUE")))</f>
        <v/>
      </c>
      <c r="S39" s="425" t="str">
        <f>IF(LEFT(Supplementary!N22,1)="Y","TRUE","")</f>
        <v/>
      </c>
      <c r="T39" s="425" t="str">
        <f>IF(LEFT(Supplementary!O22,1)="Y","TRUE","")</f>
        <v/>
      </c>
      <c r="U39" s="425" t="str">
        <f>IF(LEFT(Supplementary!P22,1)="Y","TRUE","")</f>
        <v/>
      </c>
      <c r="V39" s="425" t="str">
        <f>IF(LEFT(Supplementary!Q22,1)="Y","TRUE","")</f>
        <v/>
      </c>
      <c r="W39" s="425" t="str">
        <f>IF(LEFT(Supplementary!R22,1)="Y","TRUE","")</f>
        <v/>
      </c>
      <c r="X39" s="425" t="str">
        <f>IF(Supplementary!T22="Open","TRUE","")</f>
        <v/>
      </c>
      <c r="Y39" s="425" t="str">
        <f>IF(Supplementary!T22="Sporter","TRUE","")</f>
        <v/>
      </c>
      <c r="Z39" s="425" t="str">
        <f>IF(COUNTBLANK(X39:Y39)=1,TRIM(PROPER(Supplementary!V22)),"")</f>
        <v/>
      </c>
      <c r="AA39" s="425" t="str">
        <f>IF(LEFT(Supplementary!S22,1)="Y","TRUE","")</f>
        <v/>
      </c>
      <c r="AB39" s="425" t="str">
        <f>IF(LEFT(Supplementary!X22,1)="Y","TRUE","")</f>
        <v/>
      </c>
      <c r="AC39" s="425" t="str">
        <f>IF(LEFT(Supplementary!W22,1)="Y","TRUE","")</f>
        <v/>
      </c>
      <c r="AD39" s="425" t="str">
        <f>IF(Supplementary!Y22="A","TRUE","")</f>
        <v/>
      </c>
      <c r="AE39" s="425" t="str">
        <f>IF(Supplementary!Y22="B","TRUE","")</f>
        <v/>
      </c>
      <c r="AF39" s="425" t="str">
        <f>IF(Supplementary!Z22="A","TRUE","")</f>
        <v/>
      </c>
      <c r="AG39" s="425" t="str">
        <f>IF(Supplementary!Z22="B","TRUE","")</f>
        <v/>
      </c>
      <c r="AH39" s="425" t="str">
        <f>IF(Supplementary!Z22="X","TRUE","")</f>
        <v/>
      </c>
      <c r="AI39" s="425" t="str">
        <f>IF(LEN(Supplementary!N22)&gt;1,Supplementary!N22,"")</f>
        <v/>
      </c>
      <c r="AJ39" s="425" t="str">
        <f>IF(LEN(Supplementary!O22)&gt;1,Supplementary!O22,"")</f>
        <v/>
      </c>
      <c r="AK39" s="425" t="str">
        <f>IF(LEN(Supplementary!P22)&gt;1,Supplementary!P22,"")</f>
        <v/>
      </c>
      <c r="AL39" s="425" t="str">
        <f>IF(LEN(Supplementary!Q22)&gt;1,Supplementary!Q22,"")</f>
        <v/>
      </c>
      <c r="AM39" s="425" t="str">
        <f>IF(LEN(Supplementary!R22)&gt;1,Supplementary!R22,"")</f>
        <v/>
      </c>
      <c r="AN39" s="425" t="str">
        <f>IF(LEN(Supplementary!S22)&gt;1,Supplementary!S22,"")</f>
        <v/>
      </c>
      <c r="AO39" s="425" t="str">
        <f>IF(LEN(Supplementary!U22)&gt;1,Supplementary!U22,"")</f>
        <v/>
      </c>
      <c r="AP39" s="425" t="str">
        <f>IF(LEN(Supplementary!W22)&gt;1,Supplementary!W22,"")</f>
        <v/>
      </c>
      <c r="AQ39" s="425" t="str">
        <f>IF(COUNTBLANK(Supplementary!$C22:$D22)&lt;2,Supplementary!AQ22,"")</f>
        <v/>
      </c>
    </row>
    <row r="40" spans="1:46" ht="13.5" x14ac:dyDescent="0.25">
      <c r="A40" s="425" t="str">
        <f>IF(COUNTBLANK(Supplementary!$C23:$D23)&lt;2,Supplementary!B23,"")</f>
        <v/>
      </c>
      <c r="B40" s="426" t="str">
        <f>IF(COUNTBLANK(Supplementary!$C23:$D23)&lt;2,'Team Data'!A$2,"")</f>
        <v/>
      </c>
      <c r="C40" s="426" t="str">
        <f>IF(COUNTBLANK(Supplementary!$C23:$D23)&lt;2,'Team Data'!C8,"")</f>
        <v/>
      </c>
      <c r="D40" s="426"/>
      <c r="E40" s="426" t="str">
        <f>IF(COUNTBLANK(Supplementary!$C23:$D23)&lt;2,TRIM(PROPER(Supplementary!C23)),"")</f>
        <v/>
      </c>
      <c r="F40" s="426" t="str">
        <f>IF(COUNTBLANK(Supplementary!$C23:$D23)&lt;2,TRIM(PROPER(Supplementary!D23)),"")</f>
        <v/>
      </c>
      <c r="G40" s="425" t="str">
        <f>IF(COUNTBLANK(Supplementary!$C23:$D23)&lt;2,Supplementary!H23,"")</f>
        <v/>
      </c>
      <c r="H40" s="425" t="str">
        <f>IF(COUNTBLANK(Supplementary!$C23:$D23)&lt;2,Supplementary!I23,"")</f>
        <v/>
      </c>
      <c r="I40" s="425" t="str">
        <f>IF(COUNTBLANK(Supplementary!$C23:$D23)&lt;2,Supplementary!K23,"")</f>
        <v/>
      </c>
      <c r="J40" s="425" t="str">
        <f>IF(COUNTBLANK(Supplementary!$C23:$D23)&lt;2,UPPER(Supplementary!F23),"")</f>
        <v/>
      </c>
      <c r="K40" s="425" t="str">
        <f>IF(COUNTBLANK(Supplementary!$C23:$D23)&lt;2,UPPER(Supplementary!G23),"")</f>
        <v/>
      </c>
      <c r="L40" s="425" t="str">
        <f>""</f>
        <v/>
      </c>
      <c r="M40" s="425" t="str">
        <f>IF(COUNTBLANK(Supplementary!$C23:$D23)&lt;2,IF(COUNTBLANK(Supplementary!$C23:$D23)&lt;2,IF(Supplementary!M23="X","X","")),"")</f>
        <v/>
      </c>
      <c r="N40" s="425" t="str">
        <f>IF(COUNTBLANK(Supplementary!$C23:$D23)&lt;2,IF(COUNTBLANK(Supplementary!$C23:$D23)&lt;2,IF(Supplementary!M23="N","N","")),"")</f>
        <v/>
      </c>
      <c r="O40" s="427" t="str">
        <f>IF(COUNTBLANK(Supplementary!$C23:$D23)&lt;2,IF(Supplementary!E23=0,0,Supplementary!E23),"")</f>
        <v/>
      </c>
      <c r="P40" s="426" t="str">
        <f>IF(COUNTBLANK(Supplementary!C23)=0,INT(Supplementary!AF23),"")</f>
        <v/>
      </c>
      <c r="Q40" s="425" t="str">
        <f>IF(COUNTBLANK(Supplementary!C23)=1,"",IF(P40&lt;14,"J","S"))</f>
        <v/>
      </c>
      <c r="R40" s="425" t="str">
        <f>IF(Supplementary!C23="","",IF(M40="X","K",IF(N40="N","PKEF","TRUE")))</f>
        <v/>
      </c>
      <c r="S40" s="425" t="str">
        <f>IF(LEFT(Supplementary!N23,1)="Y","TRUE","")</f>
        <v/>
      </c>
      <c r="T40" s="425" t="str">
        <f>IF(LEFT(Supplementary!O23,1)="Y","TRUE","")</f>
        <v/>
      </c>
      <c r="U40" s="425" t="str">
        <f>IF(LEFT(Supplementary!P23,1)="Y","TRUE","")</f>
        <v/>
      </c>
      <c r="V40" s="425" t="str">
        <f>IF(LEFT(Supplementary!Q23,1)="Y","TRUE","")</f>
        <v/>
      </c>
      <c r="W40" s="425" t="str">
        <f>IF(LEFT(Supplementary!R23,1)="Y","TRUE","")</f>
        <v/>
      </c>
      <c r="X40" s="425" t="str">
        <f>IF(Supplementary!T23="Open","TRUE","")</f>
        <v/>
      </c>
      <c r="Y40" s="425" t="str">
        <f>IF(Supplementary!T23="Sporter","TRUE","")</f>
        <v/>
      </c>
      <c r="Z40" s="425" t="str">
        <f>IF(COUNTBLANK(X40:Y40)=1,TRIM(PROPER(Supplementary!V23)),"")</f>
        <v/>
      </c>
      <c r="AA40" s="425" t="str">
        <f>IF(LEFT(Supplementary!S23,1)="Y","TRUE","")</f>
        <v/>
      </c>
      <c r="AB40" s="425" t="str">
        <f>IF(LEFT(Supplementary!X23,1)="Y","TRUE","")</f>
        <v/>
      </c>
      <c r="AC40" s="425" t="str">
        <f>IF(LEFT(Supplementary!W23,1)="Y","TRUE","")</f>
        <v/>
      </c>
      <c r="AD40" s="425" t="str">
        <f>IF(Supplementary!Y23="A","TRUE","")</f>
        <v/>
      </c>
      <c r="AE40" s="425" t="str">
        <f>IF(Supplementary!Y23="B","TRUE","")</f>
        <v/>
      </c>
      <c r="AF40" s="425" t="str">
        <f>IF(Supplementary!Z23="A","TRUE","")</f>
        <v/>
      </c>
      <c r="AG40" s="425" t="str">
        <f>IF(Supplementary!Z23="B","TRUE","")</f>
        <v/>
      </c>
      <c r="AH40" s="425" t="str">
        <f>IF(Supplementary!Z23="X","TRUE","")</f>
        <v/>
      </c>
      <c r="AI40" s="425" t="str">
        <f>IF(LEN(Supplementary!N23)&gt;1,Supplementary!N23,"")</f>
        <v/>
      </c>
      <c r="AJ40" s="425" t="str">
        <f>IF(LEN(Supplementary!O23)&gt;1,Supplementary!O23,"")</f>
        <v/>
      </c>
      <c r="AK40" s="425" t="str">
        <f>IF(LEN(Supplementary!P23)&gt;1,Supplementary!P23,"")</f>
        <v/>
      </c>
      <c r="AL40" s="425" t="str">
        <f>IF(LEN(Supplementary!Q23)&gt;1,Supplementary!Q23,"")</f>
        <v/>
      </c>
      <c r="AM40" s="425" t="str">
        <f>IF(LEN(Supplementary!R23)&gt;1,Supplementary!R23,"")</f>
        <v/>
      </c>
      <c r="AN40" s="425" t="str">
        <f>IF(LEN(Supplementary!S23)&gt;1,Supplementary!S23,"")</f>
        <v/>
      </c>
      <c r="AO40" s="425" t="str">
        <f>IF(LEN(Supplementary!U23)&gt;1,Supplementary!U23,"")</f>
        <v/>
      </c>
      <c r="AP40" s="425" t="str">
        <f>IF(LEN(Supplementary!W23)&gt;1,Supplementary!W23,"")</f>
        <v/>
      </c>
      <c r="AQ40" s="425" t="str">
        <f>IF(COUNTBLANK(Supplementary!$C23:$D23)&lt;2,Supplementary!AQ23,"")</f>
        <v/>
      </c>
    </row>
    <row r="41" spans="1:46" ht="13.5" x14ac:dyDescent="0.25">
      <c r="A41" s="425" t="str">
        <f>IF(COUNTBLANK(Supplementary!$C24:$D24)&lt;2,Supplementary!B24,"")</f>
        <v/>
      </c>
      <c r="B41" s="426" t="str">
        <f>IF(COUNTBLANK(Supplementary!$C24:$D24)&lt;2,'Team Data'!A$2,"")</f>
        <v/>
      </c>
      <c r="C41" s="426" t="str">
        <f>IF(COUNTBLANK(Supplementary!$C24:$D24)&lt;2,'Team Data'!C9,"")</f>
        <v/>
      </c>
      <c r="D41" s="426"/>
      <c r="E41" s="426" t="str">
        <f>IF(COUNTBLANK(Supplementary!$C24:$D24)&lt;2,TRIM(PROPER(Supplementary!C24)),"")</f>
        <v/>
      </c>
      <c r="F41" s="426" t="str">
        <f>IF(COUNTBLANK(Supplementary!$C24:$D24)&lt;2,TRIM(PROPER(Supplementary!D24)),"")</f>
        <v/>
      </c>
      <c r="G41" s="425" t="str">
        <f>IF(COUNTBLANK(Supplementary!$C24:$D24)&lt;2,Supplementary!H24,"")</f>
        <v/>
      </c>
      <c r="H41" s="425" t="str">
        <f>IF(COUNTBLANK(Supplementary!$C24:$D24)&lt;2,Supplementary!I24,"")</f>
        <v/>
      </c>
      <c r="I41" s="425" t="str">
        <f>IF(COUNTBLANK(Supplementary!$C24:$D24)&lt;2,Supplementary!K24,"")</f>
        <v/>
      </c>
      <c r="J41" s="425" t="str">
        <f>IF(COUNTBLANK(Supplementary!$C24:$D24)&lt;2,UPPER(Supplementary!F24),"")</f>
        <v/>
      </c>
      <c r="K41" s="425" t="str">
        <f>IF(COUNTBLANK(Supplementary!$C24:$D24)&lt;2,UPPER(Supplementary!G24),"")</f>
        <v/>
      </c>
      <c r="L41" s="425" t="str">
        <f>""</f>
        <v/>
      </c>
      <c r="M41" s="425" t="str">
        <f>IF(COUNTBLANK(Supplementary!$C24:$D24)&lt;2,IF(COUNTBLANK(Supplementary!$C24:$D24)&lt;2,IF(Supplementary!M24="X","X","")),"")</f>
        <v/>
      </c>
      <c r="N41" s="425" t="str">
        <f>IF(COUNTBLANK(Supplementary!$C24:$D24)&lt;2,IF(COUNTBLANK(Supplementary!$C24:$D24)&lt;2,IF(Supplementary!M24="N","N","")),"")</f>
        <v/>
      </c>
      <c r="O41" s="427" t="str">
        <f>IF(COUNTBLANK(Supplementary!$C24:$D24)&lt;2,IF(Supplementary!E24=0,0,Supplementary!E24),"")</f>
        <v/>
      </c>
      <c r="P41" s="426" t="str">
        <f>IF(COUNTBLANK(Supplementary!C24)=0,INT(Supplementary!AF24),"")</f>
        <v/>
      </c>
      <c r="Q41" s="425" t="str">
        <f>IF(COUNTBLANK(Supplementary!C24)=1,"",IF(P41&lt;14,"J","S"))</f>
        <v/>
      </c>
      <c r="R41" s="425" t="str">
        <f>IF(Supplementary!C24="","",IF(M41="X","K",IF(N41="N","PKEF","TRUE")))</f>
        <v/>
      </c>
      <c r="S41" s="425" t="str">
        <f>IF(LEFT(Supplementary!N24,1)="Y","TRUE","")</f>
        <v/>
      </c>
      <c r="T41" s="425" t="str">
        <f>IF(LEFT(Supplementary!O24,1)="Y","TRUE","")</f>
        <v/>
      </c>
      <c r="U41" s="425" t="str">
        <f>IF(LEFT(Supplementary!P24,1)="Y","TRUE","")</f>
        <v/>
      </c>
      <c r="V41" s="425" t="str">
        <f>IF(LEFT(Supplementary!Q24,1)="Y","TRUE","")</f>
        <v/>
      </c>
      <c r="W41" s="425" t="str">
        <f>IF(LEFT(Supplementary!R24,1)="Y","TRUE","")</f>
        <v/>
      </c>
      <c r="X41" s="425" t="str">
        <f>IF(Supplementary!T24="Open","TRUE","")</f>
        <v/>
      </c>
      <c r="Y41" s="425" t="str">
        <f>IF(Supplementary!T24="Sporter","TRUE","")</f>
        <v/>
      </c>
      <c r="Z41" s="425" t="str">
        <f>IF(COUNTBLANK(X41:Y41)=1,TRIM(PROPER(Supplementary!V24)),"")</f>
        <v/>
      </c>
      <c r="AA41" s="425" t="str">
        <f>IF(LEFT(Supplementary!S24,1)="Y","TRUE","")</f>
        <v/>
      </c>
      <c r="AB41" s="425" t="str">
        <f>IF(LEFT(Supplementary!X24,1)="Y","TRUE","")</f>
        <v/>
      </c>
      <c r="AC41" s="425" t="str">
        <f>IF(LEFT(Supplementary!W24,1)="Y","TRUE","")</f>
        <v/>
      </c>
      <c r="AD41" s="425" t="str">
        <f>IF(Supplementary!Y24="A","TRUE","")</f>
        <v/>
      </c>
      <c r="AE41" s="425" t="str">
        <f>IF(Supplementary!Y24="B","TRUE","")</f>
        <v/>
      </c>
      <c r="AF41" s="425" t="str">
        <f>IF(Supplementary!Z24="A","TRUE","")</f>
        <v/>
      </c>
      <c r="AG41" s="425" t="str">
        <f>IF(Supplementary!Z24="B","TRUE","")</f>
        <v/>
      </c>
      <c r="AH41" s="425" t="str">
        <f>IF(Supplementary!Z24="X","TRUE","")</f>
        <v/>
      </c>
      <c r="AI41" s="425" t="str">
        <f>IF(LEN(Supplementary!N24)&gt;1,Supplementary!N24,"")</f>
        <v/>
      </c>
      <c r="AJ41" s="425" t="str">
        <f>IF(LEN(Supplementary!O24)&gt;1,Supplementary!O24,"")</f>
        <v/>
      </c>
      <c r="AK41" s="425" t="str">
        <f>IF(LEN(Supplementary!P24)&gt;1,Supplementary!P24,"")</f>
        <v/>
      </c>
      <c r="AL41" s="425" t="str">
        <f>IF(LEN(Supplementary!Q24)&gt;1,Supplementary!Q24,"")</f>
        <v/>
      </c>
      <c r="AM41" s="425" t="str">
        <f>IF(LEN(Supplementary!R24)&gt;1,Supplementary!R24,"")</f>
        <v/>
      </c>
      <c r="AN41" s="425" t="str">
        <f>IF(LEN(Supplementary!S24)&gt;1,Supplementary!S24,"")</f>
        <v/>
      </c>
      <c r="AO41" s="425" t="str">
        <f>IF(LEN(Supplementary!U24)&gt;1,Supplementary!U24,"")</f>
        <v/>
      </c>
      <c r="AP41" s="425" t="str">
        <f>IF(LEN(Supplementary!W24)&gt;1,Supplementary!W24,"")</f>
        <v/>
      </c>
      <c r="AQ41" s="425" t="str">
        <f>IF(COUNTBLANK(Supplementary!$C24:$D24)&lt;2,Supplementary!AQ24,"")</f>
        <v/>
      </c>
    </row>
    <row r="42" spans="1:46" ht="13.5" x14ac:dyDescent="0.25">
      <c r="A42" s="425" t="str">
        <f>IF(COUNTBLANK(Supplementary!$C25:$D25)&lt;2,Supplementary!B25,"")</f>
        <v/>
      </c>
      <c r="B42" s="426" t="str">
        <f>IF(COUNTBLANK(Supplementary!$C25:$D25)&lt;2,'Team Data'!A$2,"")</f>
        <v/>
      </c>
      <c r="C42" s="426" t="str">
        <f>IF(COUNTBLANK(Supplementary!$C25:$D25)&lt;2,'Team Data'!C10,"")</f>
        <v/>
      </c>
      <c r="D42" s="426"/>
      <c r="E42" s="426" t="str">
        <f>IF(COUNTBLANK(Supplementary!$C25:$D25)&lt;2,TRIM(PROPER(Supplementary!C25)),"")</f>
        <v/>
      </c>
      <c r="F42" s="426" t="str">
        <f>IF(COUNTBLANK(Supplementary!$C25:$D25)&lt;2,TRIM(PROPER(Supplementary!D25)),"")</f>
        <v/>
      </c>
      <c r="G42" s="425" t="str">
        <f>IF(COUNTBLANK(Supplementary!$C25:$D25)&lt;2,Supplementary!H25,"")</f>
        <v/>
      </c>
      <c r="H42" s="425" t="str">
        <f>IF(COUNTBLANK(Supplementary!$C25:$D25)&lt;2,Supplementary!I25,"")</f>
        <v/>
      </c>
      <c r="I42" s="425" t="str">
        <f>IF(COUNTBLANK(Supplementary!$C25:$D25)&lt;2,Supplementary!K25,"")</f>
        <v/>
      </c>
      <c r="J42" s="425" t="str">
        <f>IF(COUNTBLANK(Supplementary!$C25:$D25)&lt;2,UPPER(Supplementary!F25),"")</f>
        <v/>
      </c>
      <c r="K42" s="425" t="str">
        <f>IF(COUNTBLANK(Supplementary!$C25:$D25)&lt;2,UPPER(Supplementary!G25),"")</f>
        <v/>
      </c>
      <c r="L42" s="425" t="str">
        <f>""</f>
        <v/>
      </c>
      <c r="M42" s="425" t="str">
        <f>IF(COUNTBLANK(Supplementary!$C25:$D25)&lt;2,IF(COUNTBLANK(Supplementary!$C25:$D25)&lt;2,IF(Supplementary!M25="X","X","")),"")</f>
        <v/>
      </c>
      <c r="N42" s="425" t="str">
        <f>IF(COUNTBLANK(Supplementary!$C25:$D25)&lt;2,IF(COUNTBLANK(Supplementary!$C25:$D25)&lt;2,IF(Supplementary!M25="N","N","")),"")</f>
        <v/>
      </c>
      <c r="O42" s="427" t="str">
        <f>IF(COUNTBLANK(Supplementary!$C25:$D25)&lt;2,IF(Supplementary!E25=0,0,Supplementary!E25),"")</f>
        <v/>
      </c>
      <c r="P42" s="426" t="str">
        <f>IF(COUNTBLANK(Supplementary!C25)=0,INT(Supplementary!AF25),"")</f>
        <v/>
      </c>
      <c r="Q42" s="425" t="str">
        <f>IF(COUNTBLANK(Supplementary!C25)=1,"",IF(P42&lt;14,"J","S"))</f>
        <v/>
      </c>
      <c r="R42" s="425" t="str">
        <f>IF(Supplementary!C25="","",IF(M42="X","K",IF(N42="N","PKEF","TRUE")))</f>
        <v/>
      </c>
      <c r="S42" s="425" t="str">
        <f>IF(LEFT(Supplementary!N25,1)="Y","TRUE","")</f>
        <v/>
      </c>
      <c r="T42" s="425" t="str">
        <f>IF(LEFT(Supplementary!O25,1)="Y","TRUE","")</f>
        <v/>
      </c>
      <c r="U42" s="425" t="str">
        <f>IF(LEFT(Supplementary!P25,1)="Y","TRUE","")</f>
        <v/>
      </c>
      <c r="V42" s="425" t="str">
        <f>IF(LEFT(Supplementary!Q25,1)="Y","TRUE","")</f>
        <v/>
      </c>
      <c r="W42" s="425" t="str">
        <f>IF(LEFT(Supplementary!R25,1)="Y","TRUE","")</f>
        <v/>
      </c>
      <c r="X42" s="425" t="str">
        <f>IF(Supplementary!T25="Open","TRUE","")</f>
        <v/>
      </c>
      <c r="Y42" s="425" t="str">
        <f>IF(Supplementary!T25="Sporter","TRUE","")</f>
        <v/>
      </c>
      <c r="Z42" s="425" t="str">
        <f>IF(COUNTBLANK(X42:Y42)=1,TRIM(PROPER(Supplementary!V25)),"")</f>
        <v/>
      </c>
      <c r="AA42" s="425" t="str">
        <f>IF(LEFT(Supplementary!S25,1)="Y","TRUE","")</f>
        <v/>
      </c>
      <c r="AB42" s="425" t="str">
        <f>IF(LEFT(Supplementary!X25,1)="Y","TRUE","")</f>
        <v/>
      </c>
      <c r="AC42" s="425" t="str">
        <f>IF(LEFT(Supplementary!W25,1)="Y","TRUE","")</f>
        <v/>
      </c>
      <c r="AD42" s="425" t="str">
        <f>IF(Supplementary!Y25="A","TRUE","")</f>
        <v/>
      </c>
      <c r="AE42" s="425" t="str">
        <f>IF(Supplementary!Y25="B","TRUE","")</f>
        <v/>
      </c>
      <c r="AF42" s="425" t="str">
        <f>IF(Supplementary!Z25="A","TRUE","")</f>
        <v/>
      </c>
      <c r="AG42" s="425" t="str">
        <f>IF(Supplementary!Z25="B","TRUE","")</f>
        <v/>
      </c>
      <c r="AH42" s="425" t="str">
        <f>IF(Supplementary!Z25="X","TRUE","")</f>
        <v/>
      </c>
      <c r="AI42" s="425" t="str">
        <f>IF(LEN(Supplementary!N25)&gt;1,Supplementary!N25,"")</f>
        <v/>
      </c>
      <c r="AJ42" s="425" t="str">
        <f>IF(LEN(Supplementary!O25)&gt;1,Supplementary!O25,"")</f>
        <v/>
      </c>
      <c r="AK42" s="425" t="str">
        <f>IF(LEN(Supplementary!P25)&gt;1,Supplementary!P25,"")</f>
        <v/>
      </c>
      <c r="AL42" s="425" t="str">
        <f>IF(LEN(Supplementary!Q25)&gt;1,Supplementary!Q25,"")</f>
        <v/>
      </c>
      <c r="AM42" s="425" t="str">
        <f>IF(LEN(Supplementary!R25)&gt;1,Supplementary!R25,"")</f>
        <v/>
      </c>
      <c r="AN42" s="425" t="str">
        <f>IF(LEN(Supplementary!S25)&gt;1,Supplementary!S25,"")</f>
        <v/>
      </c>
      <c r="AO42" s="425" t="str">
        <f>IF(LEN(Supplementary!U25)&gt;1,Supplementary!U25,"")</f>
        <v/>
      </c>
      <c r="AP42" s="425" t="str">
        <f>IF(LEN(Supplementary!W25)&gt;1,Supplementary!W25,"")</f>
        <v/>
      </c>
      <c r="AQ42" s="425" t="str">
        <f>IF(COUNTBLANK(Supplementary!$C25:$D25)&lt;2,Supplementary!AQ25,"")</f>
        <v/>
      </c>
    </row>
    <row r="43" spans="1:46" ht="13.5" x14ac:dyDescent="0.25">
      <c r="A43" s="425" t="str">
        <f>IF(COUNTBLANK(Supplementary!$C26:$D26)&lt;2,Supplementary!B26,"")</f>
        <v/>
      </c>
      <c r="B43" s="426" t="str">
        <f>IF(COUNTBLANK(Supplementary!$C26:$D26)&lt;2,'Team Data'!A$2,"")</f>
        <v/>
      </c>
      <c r="C43" s="426" t="str">
        <f>IF(COUNTBLANK(Supplementary!$C26:$D26)&lt;2,'Team Data'!C11,"")</f>
        <v/>
      </c>
      <c r="D43" s="426"/>
      <c r="E43" s="426" t="str">
        <f>IF(COUNTBLANK(Supplementary!$C26:$D26)&lt;2,TRIM(PROPER(Supplementary!C26)),"")</f>
        <v/>
      </c>
      <c r="F43" s="426" t="str">
        <f>IF(COUNTBLANK(Supplementary!$C26:$D26)&lt;2,TRIM(PROPER(Supplementary!D26)),"")</f>
        <v/>
      </c>
      <c r="G43" s="425" t="str">
        <f>IF(COUNTBLANK(Supplementary!$C26:$D26)&lt;2,Supplementary!H26,"")</f>
        <v/>
      </c>
      <c r="H43" s="425" t="str">
        <f>IF(COUNTBLANK(Supplementary!$C26:$D26)&lt;2,Supplementary!I26,"")</f>
        <v/>
      </c>
      <c r="I43" s="425" t="str">
        <f>IF(COUNTBLANK(Supplementary!$C26:$D26)&lt;2,Supplementary!K26,"")</f>
        <v/>
      </c>
      <c r="J43" s="425" t="str">
        <f>IF(COUNTBLANK(Supplementary!$C26:$D26)&lt;2,UPPER(Supplementary!F26),"")</f>
        <v/>
      </c>
      <c r="K43" s="425" t="str">
        <f>IF(COUNTBLANK(Supplementary!$C26:$D26)&lt;2,UPPER(Supplementary!G26),"")</f>
        <v/>
      </c>
      <c r="L43" s="425" t="str">
        <f>""</f>
        <v/>
      </c>
      <c r="M43" s="425" t="str">
        <f>IF(COUNTBLANK(Supplementary!$C26:$D26)&lt;2,IF(COUNTBLANK(Supplementary!$C26:$D26)&lt;2,IF(Supplementary!M26="X","X","")),"")</f>
        <v/>
      </c>
      <c r="N43" s="425" t="str">
        <f>IF(COUNTBLANK(Supplementary!$C26:$D26)&lt;2,IF(COUNTBLANK(Supplementary!$C26:$D26)&lt;2,IF(Supplementary!M26="N","N","")),"")</f>
        <v/>
      </c>
      <c r="O43" s="427" t="str">
        <f>IF(COUNTBLANK(Supplementary!$C26:$D26)&lt;2,IF(Supplementary!E26=0,0,Supplementary!E26),"")</f>
        <v/>
      </c>
      <c r="P43" s="426" t="str">
        <f>IF(COUNTBLANK(Supplementary!C26)=0,INT(Supplementary!AF26),"")</f>
        <v/>
      </c>
      <c r="Q43" s="425" t="str">
        <f>IF(COUNTBLANK(Supplementary!C26)=1,"",IF(P43&lt;14,"J","S"))</f>
        <v/>
      </c>
      <c r="R43" s="425" t="str">
        <f>IF(Supplementary!C26="","",IF(M43="X","K",IF(N43="N","PKEF","TRUE")))</f>
        <v/>
      </c>
      <c r="S43" s="425" t="str">
        <f>IF(LEFT(Supplementary!N26,1)="Y","TRUE","")</f>
        <v/>
      </c>
      <c r="T43" s="425" t="str">
        <f>IF(LEFT(Supplementary!O26,1)="Y","TRUE","")</f>
        <v/>
      </c>
      <c r="U43" s="425" t="str">
        <f>IF(LEFT(Supplementary!P26,1)="Y","TRUE","")</f>
        <v/>
      </c>
      <c r="V43" s="425" t="str">
        <f>IF(LEFT(Supplementary!Q26,1)="Y","TRUE","")</f>
        <v/>
      </c>
      <c r="W43" s="425" t="str">
        <f>IF(LEFT(Supplementary!R26,1)="Y","TRUE","")</f>
        <v/>
      </c>
      <c r="X43" s="425" t="str">
        <f>IF(Supplementary!T26="Open","TRUE","")</f>
        <v/>
      </c>
      <c r="Y43" s="425" t="str">
        <f>IF(Supplementary!T26="Sporter","TRUE","")</f>
        <v/>
      </c>
      <c r="Z43" s="425" t="str">
        <f>IF(COUNTBLANK(X43:Y43)=1,TRIM(PROPER(Supplementary!V26)),"")</f>
        <v/>
      </c>
      <c r="AA43" s="425" t="str">
        <f>IF(LEFT(Supplementary!S26,1)="Y","TRUE","")</f>
        <v/>
      </c>
      <c r="AB43" s="425" t="str">
        <f>IF(LEFT(Supplementary!X26,1)="Y","TRUE","")</f>
        <v/>
      </c>
      <c r="AC43" s="425" t="str">
        <f>IF(LEFT(Supplementary!W26,1)="Y","TRUE","")</f>
        <v/>
      </c>
      <c r="AD43" s="425" t="str">
        <f>IF(Supplementary!Y26="A","TRUE","")</f>
        <v/>
      </c>
      <c r="AE43" s="425" t="str">
        <f>IF(Supplementary!Y26="B","TRUE","")</f>
        <v/>
      </c>
      <c r="AF43" s="425" t="str">
        <f>IF(Supplementary!Z26="A","TRUE","")</f>
        <v/>
      </c>
      <c r="AG43" s="425" t="str">
        <f>IF(Supplementary!Z26="B","TRUE","")</f>
        <v/>
      </c>
      <c r="AH43" s="425" t="str">
        <f>IF(Supplementary!Z26="X","TRUE","")</f>
        <v/>
      </c>
      <c r="AI43" s="425" t="str">
        <f>IF(LEN(Supplementary!N26)&gt;1,Supplementary!N26,"")</f>
        <v/>
      </c>
      <c r="AJ43" s="425" t="str">
        <f>IF(LEN(Supplementary!O26)&gt;1,Supplementary!O26,"")</f>
        <v/>
      </c>
      <c r="AK43" s="425" t="str">
        <f>IF(LEN(Supplementary!P26)&gt;1,Supplementary!P26,"")</f>
        <v/>
      </c>
      <c r="AL43" s="425" t="str">
        <f>IF(LEN(Supplementary!Q26)&gt;1,Supplementary!Q26,"")</f>
        <v/>
      </c>
      <c r="AM43" s="425" t="str">
        <f>IF(LEN(Supplementary!R26)&gt;1,Supplementary!R26,"")</f>
        <v/>
      </c>
      <c r="AN43" s="425" t="str">
        <f>IF(LEN(Supplementary!S26)&gt;1,Supplementary!S26,"")</f>
        <v/>
      </c>
      <c r="AO43" s="425" t="str">
        <f>IF(LEN(Supplementary!U26)&gt;1,Supplementary!U26,"")</f>
        <v/>
      </c>
      <c r="AP43" s="425" t="str">
        <f>IF(LEN(Supplementary!W26)&gt;1,Supplementary!W26,"")</f>
        <v/>
      </c>
      <c r="AQ43" s="425" t="str">
        <f>IF(COUNTBLANK(Supplementary!$C26:$D26)&lt;2,Supplementary!AQ26,"")</f>
        <v/>
      </c>
    </row>
    <row r="44" spans="1:46" ht="13.5" x14ac:dyDescent="0.25">
      <c r="A44" s="425" t="str">
        <f>IF(COUNTBLANK(Supplementary!$C27:$D27)&lt;2,Supplementary!B27,"")</f>
        <v/>
      </c>
      <c r="B44" s="426" t="str">
        <f>IF(COUNTBLANK(Supplementary!$C27:$D27)&lt;2,'Team Data'!A$2,"")</f>
        <v/>
      </c>
      <c r="C44" s="426" t="str">
        <f>IF(COUNTBLANK(Supplementary!$C27:$D27)&lt;2,'Team Data'!C12,"")</f>
        <v/>
      </c>
      <c r="D44" s="426"/>
      <c r="E44" s="426" t="str">
        <f>IF(COUNTBLANK(Supplementary!$C27:$D27)&lt;2,TRIM(PROPER(Supplementary!C27)),"")</f>
        <v/>
      </c>
      <c r="F44" s="426" t="str">
        <f>IF(COUNTBLANK(Supplementary!$C27:$D27)&lt;2,TRIM(PROPER(Supplementary!D27)),"")</f>
        <v/>
      </c>
      <c r="G44" s="425" t="str">
        <f>IF(COUNTBLANK(Supplementary!$C27:$D27)&lt;2,Supplementary!H27,"")</f>
        <v/>
      </c>
      <c r="H44" s="425" t="str">
        <f>IF(COUNTBLANK(Supplementary!$C27:$D27)&lt;2,Supplementary!I27,"")</f>
        <v/>
      </c>
      <c r="I44" s="425" t="str">
        <f>IF(COUNTBLANK(Supplementary!$C27:$D27)&lt;2,Supplementary!K27,"")</f>
        <v/>
      </c>
      <c r="J44" s="425" t="str">
        <f>IF(COUNTBLANK(Supplementary!$C27:$D27)&lt;2,UPPER(Supplementary!F27),"")</f>
        <v/>
      </c>
      <c r="K44" s="425" t="str">
        <f>IF(COUNTBLANK(Supplementary!$C27:$D27)&lt;2,UPPER(Supplementary!G27),"")</f>
        <v/>
      </c>
      <c r="L44" s="425" t="str">
        <f>""</f>
        <v/>
      </c>
      <c r="M44" s="425" t="str">
        <f>IF(COUNTBLANK(Supplementary!$C27:$D27)&lt;2,IF(COUNTBLANK(Supplementary!$C27:$D27)&lt;2,IF(Supplementary!M27="X","X","")),"")</f>
        <v/>
      </c>
      <c r="N44" s="425" t="str">
        <f>IF(COUNTBLANK(Supplementary!$C27:$D27)&lt;2,IF(COUNTBLANK(Supplementary!$C27:$D27)&lt;2,IF(Supplementary!M27="N","N","")),"")</f>
        <v/>
      </c>
      <c r="O44" s="427" t="str">
        <f>IF(COUNTBLANK(Supplementary!$C27:$D27)&lt;2,IF(Supplementary!E27=0,0,Supplementary!E27),"")</f>
        <v/>
      </c>
      <c r="P44" s="426" t="str">
        <f>IF(COUNTBLANK(Supplementary!C27)=0,INT(Supplementary!AF27),"")</f>
        <v/>
      </c>
      <c r="Q44" s="425" t="str">
        <f>IF(COUNTBLANK(Supplementary!C27)=1,"",IF(P44&lt;14,"J","S"))</f>
        <v/>
      </c>
      <c r="R44" s="425" t="str">
        <f>IF(Supplementary!C27="","",IF(M44="X","K",IF(N44="N","PKEF","TRUE")))</f>
        <v/>
      </c>
      <c r="S44" s="425" t="str">
        <f>IF(LEFT(Supplementary!N27,1)="Y","TRUE","")</f>
        <v/>
      </c>
      <c r="T44" s="425" t="str">
        <f>IF(LEFT(Supplementary!O27,1)="Y","TRUE","")</f>
        <v/>
      </c>
      <c r="U44" s="425" t="str">
        <f>IF(LEFT(Supplementary!P27,1)="Y","TRUE","")</f>
        <v/>
      </c>
      <c r="V44" s="425" t="str">
        <f>IF(LEFT(Supplementary!Q27,1)="Y","TRUE","")</f>
        <v/>
      </c>
      <c r="W44" s="425" t="str">
        <f>IF(LEFT(Supplementary!R27,1)="Y","TRUE","")</f>
        <v/>
      </c>
      <c r="X44" s="425" t="str">
        <f>IF(Supplementary!T27="Open","TRUE","")</f>
        <v/>
      </c>
      <c r="Y44" s="425" t="str">
        <f>IF(Supplementary!T27="Sporter","TRUE","")</f>
        <v/>
      </c>
      <c r="Z44" s="425" t="str">
        <f>IF(COUNTBLANK(X44:Y44)=1,TRIM(PROPER(Supplementary!V27)),"")</f>
        <v/>
      </c>
      <c r="AA44" s="425" t="str">
        <f>IF(LEFT(Supplementary!S27,1)="Y","TRUE","")</f>
        <v/>
      </c>
      <c r="AB44" s="425" t="str">
        <f>IF(LEFT(Supplementary!X27,1)="Y","TRUE","")</f>
        <v/>
      </c>
      <c r="AC44" s="425" t="str">
        <f>IF(LEFT(Supplementary!W27,1)="Y","TRUE","")</f>
        <v/>
      </c>
      <c r="AD44" s="425" t="str">
        <f>IF(Supplementary!Y27="A","TRUE","")</f>
        <v/>
      </c>
      <c r="AE44" s="425" t="str">
        <f>IF(Supplementary!Y27="B","TRUE","")</f>
        <v/>
      </c>
      <c r="AF44" s="425" t="str">
        <f>IF(Supplementary!Z27="A","TRUE","")</f>
        <v/>
      </c>
      <c r="AG44" s="425" t="str">
        <f>IF(Supplementary!Z27="B","TRUE","")</f>
        <v/>
      </c>
      <c r="AH44" s="425" t="str">
        <f>IF(Supplementary!Z27="X","TRUE","")</f>
        <v/>
      </c>
      <c r="AI44" s="425" t="str">
        <f>IF(LEN(Supplementary!N27)&gt;1,Supplementary!N27,"")</f>
        <v/>
      </c>
      <c r="AJ44" s="425" t="str">
        <f>IF(LEN(Supplementary!O27)&gt;1,Supplementary!O27,"")</f>
        <v/>
      </c>
      <c r="AK44" s="425" t="str">
        <f>IF(LEN(Supplementary!P27)&gt;1,Supplementary!P27,"")</f>
        <v/>
      </c>
      <c r="AL44" s="425" t="str">
        <f>IF(LEN(Supplementary!Q27)&gt;1,Supplementary!Q27,"")</f>
        <v/>
      </c>
      <c r="AM44" s="425" t="str">
        <f>IF(LEN(Supplementary!R27)&gt;1,Supplementary!R27,"")</f>
        <v/>
      </c>
      <c r="AN44" s="425" t="str">
        <f>IF(LEN(Supplementary!S27)&gt;1,Supplementary!S27,"")</f>
        <v/>
      </c>
      <c r="AO44" s="425" t="str">
        <f>IF(LEN(Supplementary!U27)&gt;1,Supplementary!U27,"")</f>
        <v/>
      </c>
      <c r="AP44" s="425" t="str">
        <f>IF(LEN(Supplementary!W27)&gt;1,Supplementary!W27,"")</f>
        <v/>
      </c>
      <c r="AQ44" s="425" t="str">
        <f>IF(COUNTBLANK(Supplementary!$C27:$D27)&lt;2,Supplementary!AQ27,"")</f>
        <v/>
      </c>
    </row>
    <row r="45" spans="1:46" ht="13.5" x14ac:dyDescent="0.25">
      <c r="A45" s="425" t="str">
        <f>IF(COUNTBLANK(Supplementary!$C28:$D28)&lt;2,Supplementary!B28,"")</f>
        <v/>
      </c>
      <c r="B45" s="426" t="str">
        <f>IF(COUNTBLANK(Supplementary!$C28:$D28)&lt;2,'Team Data'!A$2,"")</f>
        <v/>
      </c>
      <c r="C45" s="426" t="str">
        <f>IF(COUNTBLANK(Supplementary!$C28:$D28)&lt;2,'Team Data'!C13,"")</f>
        <v/>
      </c>
      <c r="D45" s="426"/>
      <c r="E45" s="426" t="str">
        <f>IF(COUNTBLANK(Supplementary!$C28:$D28)&lt;2,TRIM(PROPER(Supplementary!C28)),"")</f>
        <v/>
      </c>
      <c r="F45" s="426" t="str">
        <f>IF(COUNTBLANK(Supplementary!$C28:$D28)&lt;2,TRIM(PROPER(Supplementary!D28)),"")</f>
        <v/>
      </c>
      <c r="G45" s="425" t="str">
        <f>IF(COUNTBLANK(Supplementary!$C28:$D28)&lt;2,Supplementary!H28,"")</f>
        <v/>
      </c>
      <c r="H45" s="425" t="str">
        <f>IF(COUNTBLANK(Supplementary!$C28:$D28)&lt;2,Supplementary!I28,"")</f>
        <v/>
      </c>
      <c r="I45" s="425" t="str">
        <f>IF(COUNTBLANK(Supplementary!$C28:$D28)&lt;2,Supplementary!K28,"")</f>
        <v/>
      </c>
      <c r="J45" s="425" t="str">
        <f>IF(COUNTBLANK(Supplementary!$C28:$D28)&lt;2,UPPER(Supplementary!F28),"")</f>
        <v/>
      </c>
      <c r="K45" s="425" t="str">
        <f>IF(COUNTBLANK(Supplementary!$C28:$D28)&lt;2,UPPER(Supplementary!G28),"")</f>
        <v/>
      </c>
      <c r="L45" s="425" t="str">
        <f>""</f>
        <v/>
      </c>
      <c r="M45" s="425" t="str">
        <f>IF(COUNTBLANK(Supplementary!$C28:$D28)&lt;2,IF(COUNTBLANK(Supplementary!$C28:$D28)&lt;2,IF(Supplementary!M28="X","X","")),"")</f>
        <v/>
      </c>
      <c r="N45" s="425" t="str">
        <f>IF(COUNTBLANK(Supplementary!$C28:$D28)&lt;2,IF(COUNTBLANK(Supplementary!$C28:$D28)&lt;2,IF(Supplementary!M28="N","N","")),"")</f>
        <v/>
      </c>
      <c r="O45" s="427" t="str">
        <f>IF(COUNTBLANK(Supplementary!$C28:$D28)&lt;2,IF(Supplementary!E28=0,0,Supplementary!E28),"")</f>
        <v/>
      </c>
      <c r="P45" s="426" t="str">
        <f>IF(COUNTBLANK(Supplementary!C28)=0,INT(Supplementary!AF28),"")</f>
        <v/>
      </c>
      <c r="Q45" s="425" t="str">
        <f>IF(COUNTBLANK(Supplementary!C28)=1,"",IF(P45&lt;14,"J","S"))</f>
        <v/>
      </c>
      <c r="R45" s="425" t="str">
        <f>IF(Supplementary!C28="","",IF(M45="X","K",IF(N45="N","PKEF","TRUE")))</f>
        <v/>
      </c>
      <c r="S45" s="425" t="str">
        <f>IF(LEFT(Supplementary!N28,1)="Y","TRUE","")</f>
        <v/>
      </c>
      <c r="T45" s="425" t="str">
        <f>IF(LEFT(Supplementary!O28,1)="Y","TRUE","")</f>
        <v/>
      </c>
      <c r="U45" s="425" t="str">
        <f>IF(LEFT(Supplementary!P28,1)="Y","TRUE","")</f>
        <v/>
      </c>
      <c r="V45" s="425" t="str">
        <f>IF(LEFT(Supplementary!Q28,1)="Y","TRUE","")</f>
        <v/>
      </c>
      <c r="W45" s="425" t="str">
        <f>IF(LEFT(Supplementary!R28,1)="Y","TRUE","")</f>
        <v/>
      </c>
      <c r="X45" s="425" t="str">
        <f>IF(Supplementary!T28="Open","TRUE","")</f>
        <v/>
      </c>
      <c r="Y45" s="425" t="str">
        <f>IF(Supplementary!T28="Sporter","TRUE","")</f>
        <v/>
      </c>
      <c r="Z45" s="425" t="str">
        <f>IF(COUNTBLANK(X45:Y45)=1,TRIM(PROPER(Supplementary!V28)),"")</f>
        <v/>
      </c>
      <c r="AA45" s="425" t="str">
        <f>IF(LEFT(Supplementary!S28,1)="Y","TRUE","")</f>
        <v/>
      </c>
      <c r="AB45" s="425" t="str">
        <f>IF(LEFT(Supplementary!X28,1)="Y","TRUE","")</f>
        <v/>
      </c>
      <c r="AC45" s="425" t="str">
        <f>IF(LEFT(Supplementary!W28,1)="Y","TRUE","")</f>
        <v/>
      </c>
      <c r="AD45" s="425" t="str">
        <f>IF(Supplementary!Y28="A","TRUE","")</f>
        <v/>
      </c>
      <c r="AE45" s="425" t="str">
        <f>IF(Supplementary!Y28="B","TRUE","")</f>
        <v/>
      </c>
      <c r="AF45" s="425" t="str">
        <f>IF(Supplementary!Z28="A","TRUE","")</f>
        <v/>
      </c>
      <c r="AG45" s="425" t="str">
        <f>IF(Supplementary!Z28="B","TRUE","")</f>
        <v/>
      </c>
      <c r="AH45" s="425" t="str">
        <f>IF(Supplementary!Z28="X","TRUE","")</f>
        <v/>
      </c>
      <c r="AI45" s="425" t="str">
        <f>IF(LEN(Supplementary!N28)&gt;1,Supplementary!N28,"")</f>
        <v/>
      </c>
      <c r="AJ45" s="425" t="str">
        <f>IF(LEN(Supplementary!O28)&gt;1,Supplementary!O28,"")</f>
        <v/>
      </c>
      <c r="AK45" s="425" t="str">
        <f>IF(LEN(Supplementary!P28)&gt;1,Supplementary!P28,"")</f>
        <v/>
      </c>
      <c r="AL45" s="425" t="str">
        <f>IF(LEN(Supplementary!Q28)&gt;1,Supplementary!Q28,"")</f>
        <v/>
      </c>
      <c r="AM45" s="425" t="str">
        <f>IF(LEN(Supplementary!R28)&gt;1,Supplementary!R28,"")</f>
        <v/>
      </c>
      <c r="AN45" s="425" t="str">
        <f>IF(LEN(Supplementary!S28)&gt;1,Supplementary!S28,"")</f>
        <v/>
      </c>
      <c r="AO45" s="425" t="str">
        <f>IF(LEN(Supplementary!U28)&gt;1,Supplementary!U28,"")</f>
        <v/>
      </c>
      <c r="AP45" s="425" t="str">
        <f>IF(LEN(Supplementary!W28)&gt;1,Supplementary!W28,"")</f>
        <v/>
      </c>
      <c r="AQ45" s="425" t="str">
        <f>IF(COUNTBLANK(Supplementary!$C28:$D28)&lt;2,Supplementary!AQ28,"")</f>
        <v/>
      </c>
    </row>
    <row r="46" spans="1:46" ht="13.5" x14ac:dyDescent="0.25">
      <c r="A46" s="425" t="str">
        <f>IF(COUNTBLANK(Supplementary!$C29:$D29)&lt;2,Supplementary!B29,"")</f>
        <v/>
      </c>
      <c r="B46" s="426" t="str">
        <f>IF(COUNTBLANK(Supplementary!$C29:$D29)&lt;2,'Team Data'!A$2,"")</f>
        <v/>
      </c>
      <c r="C46" s="426" t="str">
        <f>IF(COUNTBLANK(Supplementary!$C29:$D29)&lt;2,'Team Data'!C14,"")</f>
        <v/>
      </c>
      <c r="D46" s="426"/>
      <c r="E46" s="426" t="str">
        <f>IF(COUNTBLANK(Supplementary!$C29:$D29)&lt;2,TRIM(PROPER(Supplementary!C29)),"")</f>
        <v/>
      </c>
      <c r="F46" s="426" t="str">
        <f>IF(COUNTBLANK(Supplementary!$C29:$D29)&lt;2,TRIM(PROPER(Supplementary!D29)),"")</f>
        <v/>
      </c>
      <c r="G46" s="425" t="str">
        <f>IF(COUNTBLANK(Supplementary!$C29:$D29)&lt;2,Supplementary!H29,"")</f>
        <v/>
      </c>
      <c r="H46" s="425" t="str">
        <f>IF(COUNTBLANK(Supplementary!$C29:$D29)&lt;2,Supplementary!I29,"")</f>
        <v/>
      </c>
      <c r="I46" s="425" t="str">
        <f>IF(COUNTBLANK(Supplementary!$C29:$D29)&lt;2,Supplementary!K29,"")</f>
        <v/>
      </c>
      <c r="J46" s="425" t="str">
        <f>IF(COUNTBLANK(Supplementary!$C29:$D29)&lt;2,UPPER(Supplementary!F29),"")</f>
        <v/>
      </c>
      <c r="K46" s="425" t="str">
        <f>IF(COUNTBLANK(Supplementary!$C29:$D29)&lt;2,UPPER(Supplementary!G29),"")</f>
        <v/>
      </c>
      <c r="L46" s="425" t="str">
        <f>""</f>
        <v/>
      </c>
      <c r="M46" s="425" t="str">
        <f>IF(COUNTBLANK(Supplementary!$C29:$D29)&lt;2,IF(COUNTBLANK(Supplementary!$C29:$D29)&lt;2,IF(Supplementary!M29="X","X","")),"")</f>
        <v/>
      </c>
      <c r="N46" s="425" t="str">
        <f>IF(COUNTBLANK(Supplementary!$C29:$D29)&lt;2,IF(COUNTBLANK(Supplementary!$C29:$D29)&lt;2,IF(Supplementary!M29="N","N","")),"")</f>
        <v/>
      </c>
      <c r="O46" s="427" t="str">
        <f>IF(COUNTBLANK(Supplementary!$C29:$D29)&lt;2,IF(Supplementary!E29=0,0,Supplementary!E29),"")</f>
        <v/>
      </c>
      <c r="P46" s="426" t="str">
        <f>IF(COUNTBLANK(Supplementary!C29)=0,INT(Supplementary!AF29),"")</f>
        <v/>
      </c>
      <c r="Q46" s="425" t="str">
        <f>IF(COUNTBLANK(Supplementary!C29)=1,"",IF(P46&lt;14,"J","S"))</f>
        <v/>
      </c>
      <c r="R46" s="425" t="str">
        <f>IF(Supplementary!C29="","",IF(M46="X","K",IF(N46="N","PKEF","TRUE")))</f>
        <v/>
      </c>
      <c r="S46" s="425" t="str">
        <f>IF(LEFT(Supplementary!N29,1)="Y","TRUE","")</f>
        <v/>
      </c>
      <c r="T46" s="425" t="str">
        <f>IF(LEFT(Supplementary!O29,1)="Y","TRUE","")</f>
        <v/>
      </c>
      <c r="U46" s="425" t="str">
        <f>IF(LEFT(Supplementary!P29,1)="Y","TRUE","")</f>
        <v/>
      </c>
      <c r="V46" s="425" t="str">
        <f>IF(LEFT(Supplementary!Q29,1)="Y","TRUE","")</f>
        <v/>
      </c>
      <c r="W46" s="425" t="str">
        <f>IF(LEFT(Supplementary!R29,1)="Y","TRUE","")</f>
        <v/>
      </c>
      <c r="X46" s="425" t="str">
        <f>IF(Supplementary!T29="Open","TRUE","")</f>
        <v/>
      </c>
      <c r="Y46" s="425" t="str">
        <f>IF(Supplementary!T29="Sporter","TRUE","")</f>
        <v/>
      </c>
      <c r="Z46" s="425" t="str">
        <f>IF(COUNTBLANK(X46:Y46)=1,TRIM(PROPER(Supplementary!V29)),"")</f>
        <v/>
      </c>
      <c r="AA46" s="425" t="str">
        <f>IF(LEFT(Supplementary!S29,1)="Y","TRUE","")</f>
        <v/>
      </c>
      <c r="AB46" s="425" t="str">
        <f>IF(LEFT(Supplementary!X29,1)="Y","TRUE","")</f>
        <v/>
      </c>
      <c r="AC46" s="425" t="str">
        <f>IF(LEFT(Supplementary!W29,1)="Y","TRUE","")</f>
        <v/>
      </c>
      <c r="AD46" s="425" t="str">
        <f>IF(Supplementary!Y29="A","TRUE","")</f>
        <v/>
      </c>
      <c r="AE46" s="425" t="str">
        <f>IF(Supplementary!Y29="B","TRUE","")</f>
        <v/>
      </c>
      <c r="AF46" s="425" t="str">
        <f>IF(Supplementary!Z29="A","TRUE","")</f>
        <v/>
      </c>
      <c r="AG46" s="425" t="str">
        <f>IF(Supplementary!Z29="B","TRUE","")</f>
        <v/>
      </c>
      <c r="AH46" s="425" t="str">
        <f>IF(Supplementary!Z29="X","TRUE","")</f>
        <v/>
      </c>
      <c r="AI46" s="425" t="str">
        <f>IF(LEN(Supplementary!N29)&gt;1,Supplementary!N29,"")</f>
        <v/>
      </c>
      <c r="AJ46" s="425" t="str">
        <f>IF(LEN(Supplementary!O29)&gt;1,Supplementary!O29,"")</f>
        <v/>
      </c>
      <c r="AK46" s="425" t="str">
        <f>IF(LEN(Supplementary!P29)&gt;1,Supplementary!P29,"")</f>
        <v/>
      </c>
      <c r="AL46" s="425" t="str">
        <f>IF(LEN(Supplementary!Q29)&gt;1,Supplementary!Q29,"")</f>
        <v/>
      </c>
      <c r="AM46" s="425" t="str">
        <f>IF(LEN(Supplementary!R29)&gt;1,Supplementary!R29,"")</f>
        <v/>
      </c>
      <c r="AN46" s="425" t="str">
        <f>IF(LEN(Supplementary!S29)&gt;1,Supplementary!S29,"")</f>
        <v/>
      </c>
      <c r="AO46" s="425" t="str">
        <f>IF(LEN(Supplementary!U29)&gt;1,Supplementary!U29,"")</f>
        <v/>
      </c>
      <c r="AP46" s="425" t="str">
        <f>IF(LEN(Supplementary!W29)&gt;1,Supplementary!W29,"")</f>
        <v/>
      </c>
      <c r="AQ46" s="425" t="str">
        <f>IF(COUNTBLANK(Supplementary!$C29:$D29)&lt;2,Supplementary!AQ29,"")</f>
        <v/>
      </c>
    </row>
    <row r="47" spans="1:46" ht="13.5" x14ac:dyDescent="0.25">
      <c r="A47" s="425" t="str">
        <f>IF(COUNTBLANK(Supplementary!$C30:$D30)&lt;2,Supplementary!B30,"")</f>
        <v/>
      </c>
      <c r="B47" s="426" t="str">
        <f>IF(COUNTBLANK(Supplementary!$C30:$D30)&lt;2,'Team Data'!A$2,"")</f>
        <v/>
      </c>
      <c r="C47" s="426" t="str">
        <f>IF(COUNTBLANK(Supplementary!$C30:$D30)&lt;2,'Team Data'!C15,"")</f>
        <v/>
      </c>
      <c r="D47" s="426"/>
      <c r="E47" s="426" t="str">
        <f>IF(COUNTBLANK(Supplementary!$C30:$D30)&lt;2,TRIM(PROPER(Supplementary!C30)),"")</f>
        <v/>
      </c>
      <c r="F47" s="426" t="str">
        <f>IF(COUNTBLANK(Supplementary!$C30:$D30)&lt;2,TRIM(PROPER(Supplementary!D30)),"")</f>
        <v/>
      </c>
      <c r="G47" s="425" t="str">
        <f>IF(COUNTBLANK(Supplementary!$C30:$D30)&lt;2,Supplementary!H30,"")</f>
        <v/>
      </c>
      <c r="H47" s="425" t="str">
        <f>IF(COUNTBLANK(Supplementary!$C30:$D30)&lt;2,Supplementary!I30,"")</f>
        <v/>
      </c>
      <c r="I47" s="425" t="str">
        <f>IF(COUNTBLANK(Supplementary!$C30:$D30)&lt;2,Supplementary!K30,"")</f>
        <v/>
      </c>
      <c r="J47" s="425" t="str">
        <f>IF(COUNTBLANK(Supplementary!$C30:$D30)&lt;2,UPPER(Supplementary!F30),"")</f>
        <v/>
      </c>
      <c r="K47" s="425" t="str">
        <f>IF(COUNTBLANK(Supplementary!$C30:$D30)&lt;2,UPPER(Supplementary!G30),"")</f>
        <v/>
      </c>
      <c r="L47" s="425" t="str">
        <f>""</f>
        <v/>
      </c>
      <c r="M47" s="425" t="str">
        <f>IF(COUNTBLANK(Supplementary!$C30:$D30)&lt;2,IF(COUNTBLANK(Supplementary!$C30:$D30)&lt;2,IF(Supplementary!M30="X","X","")),"")</f>
        <v/>
      </c>
      <c r="N47" s="425" t="str">
        <f>IF(COUNTBLANK(Supplementary!$C30:$D30)&lt;2,IF(COUNTBLANK(Supplementary!$C30:$D30)&lt;2,IF(Supplementary!M30="N","N","")),"")</f>
        <v/>
      </c>
      <c r="O47" s="427" t="str">
        <f>IF(COUNTBLANK(Supplementary!$C30:$D30)&lt;2,IF(Supplementary!E30=0,0,Supplementary!E30),"")</f>
        <v/>
      </c>
      <c r="P47" s="426" t="str">
        <f>IF(COUNTBLANK(Supplementary!C30)=0,INT(Supplementary!AF30),"")</f>
        <v/>
      </c>
      <c r="Q47" s="425" t="str">
        <f>IF(COUNTBLANK(Supplementary!C30)=1,"",IF(P47&lt;14,"J","S"))</f>
        <v/>
      </c>
      <c r="R47" s="425" t="str">
        <f>IF(Supplementary!C30="","",IF(M47="X","K",IF(N47="N","PKEF","TRUE")))</f>
        <v/>
      </c>
      <c r="S47" s="425" t="str">
        <f>IF(LEFT(Supplementary!N30,1)="Y","TRUE","")</f>
        <v/>
      </c>
      <c r="T47" s="425" t="str">
        <f>IF(LEFT(Supplementary!O30,1)="Y","TRUE","")</f>
        <v/>
      </c>
      <c r="U47" s="425" t="str">
        <f>IF(LEFT(Supplementary!P30,1)="Y","TRUE","")</f>
        <v/>
      </c>
      <c r="V47" s="425" t="str">
        <f>IF(LEFT(Supplementary!Q30,1)="Y","TRUE","")</f>
        <v/>
      </c>
      <c r="W47" s="425" t="str">
        <f>IF(LEFT(Supplementary!R30,1)="Y","TRUE","")</f>
        <v/>
      </c>
      <c r="X47" s="425" t="str">
        <f>IF(Supplementary!T30="Open","TRUE","")</f>
        <v/>
      </c>
      <c r="Y47" s="425" t="str">
        <f>IF(Supplementary!T30="Sporter","TRUE","")</f>
        <v/>
      </c>
      <c r="Z47" s="425" t="str">
        <f>IF(COUNTBLANK(X47:Y47)=1,TRIM(PROPER(Supplementary!V30)),"")</f>
        <v/>
      </c>
      <c r="AA47" s="425" t="str">
        <f>IF(LEFT(Supplementary!S30,1)="Y","TRUE","")</f>
        <v/>
      </c>
      <c r="AB47" s="425" t="str">
        <f>IF(LEFT(Supplementary!X30,1)="Y","TRUE","")</f>
        <v/>
      </c>
      <c r="AC47" s="425" t="str">
        <f>IF(LEFT(Supplementary!W30,1)="Y","TRUE","")</f>
        <v/>
      </c>
      <c r="AD47" s="425" t="str">
        <f>IF(Supplementary!Y30="A","TRUE","")</f>
        <v/>
      </c>
      <c r="AE47" s="425" t="str">
        <f>IF(Supplementary!Y30="B","TRUE","")</f>
        <v/>
      </c>
      <c r="AF47" s="425" t="str">
        <f>IF(Supplementary!Z30="A","TRUE","")</f>
        <v/>
      </c>
      <c r="AG47" s="425" t="str">
        <f>IF(Supplementary!Z30="B","TRUE","")</f>
        <v/>
      </c>
      <c r="AH47" s="425" t="str">
        <f>IF(Supplementary!Z30="X","TRUE","")</f>
        <v/>
      </c>
      <c r="AI47" s="425" t="str">
        <f>IF(LEN(Supplementary!N30)&gt;1,Supplementary!N30,"")</f>
        <v/>
      </c>
      <c r="AJ47" s="425" t="str">
        <f>IF(LEN(Supplementary!O30)&gt;1,Supplementary!O30,"")</f>
        <v/>
      </c>
      <c r="AK47" s="425" t="str">
        <f>IF(LEN(Supplementary!P30)&gt;1,Supplementary!P30,"")</f>
        <v/>
      </c>
      <c r="AL47" s="425" t="str">
        <f>IF(LEN(Supplementary!Q30)&gt;1,Supplementary!Q30,"")</f>
        <v/>
      </c>
      <c r="AM47" s="425" t="str">
        <f>IF(LEN(Supplementary!R30)&gt;1,Supplementary!R30,"")</f>
        <v/>
      </c>
      <c r="AN47" s="425" t="str">
        <f>IF(LEN(Supplementary!S30)&gt;1,Supplementary!S30,"")</f>
        <v/>
      </c>
      <c r="AO47" s="425" t="str">
        <f>IF(LEN(Supplementary!U30)&gt;1,Supplementary!U30,"")</f>
        <v/>
      </c>
      <c r="AP47" s="425" t="str">
        <f>IF(LEN(Supplementary!W30)&gt;1,Supplementary!W30,"")</f>
        <v/>
      </c>
      <c r="AQ47" s="425" t="str">
        <f>IF(COUNTBLANK(Supplementary!$C30:$D30)&lt;2,Supplementary!AQ30,"")</f>
        <v/>
      </c>
    </row>
    <row r="48" spans="1:46" ht="13.5" x14ac:dyDescent="0.25">
      <c r="A48" s="425" t="str">
        <f>IF(COUNTBLANK(Supplementary!$C31:$D31)&lt;2,Supplementary!B31,"")</f>
        <v/>
      </c>
      <c r="B48" s="426" t="str">
        <f>IF(COUNTBLANK(Supplementary!$C31:$D31)&lt;2,'Team Data'!A$2,"")</f>
        <v/>
      </c>
      <c r="C48" s="426" t="str">
        <f>IF(COUNTBLANK(Supplementary!$C31:$D31)&lt;2,'Team Data'!C16,"")</f>
        <v/>
      </c>
      <c r="D48" s="426"/>
      <c r="E48" s="426" t="str">
        <f>IF(COUNTBLANK(Supplementary!$C31:$D31)&lt;2,TRIM(PROPER(Supplementary!C31)),"")</f>
        <v/>
      </c>
      <c r="F48" s="426" t="str">
        <f>IF(COUNTBLANK(Supplementary!$C31:$D31)&lt;2,TRIM(PROPER(Supplementary!D31)),"")</f>
        <v/>
      </c>
      <c r="G48" s="425" t="str">
        <f>IF(COUNTBLANK(Supplementary!$C31:$D31)&lt;2,Supplementary!H31,"")</f>
        <v/>
      </c>
      <c r="H48" s="425" t="str">
        <f>IF(COUNTBLANK(Supplementary!$C31:$D31)&lt;2,Supplementary!I31,"")</f>
        <v/>
      </c>
      <c r="I48" s="425" t="str">
        <f>IF(COUNTBLANK(Supplementary!$C31:$D31)&lt;2,Supplementary!K31,"")</f>
        <v/>
      </c>
      <c r="J48" s="425" t="str">
        <f>IF(COUNTBLANK(Supplementary!$C31:$D31)&lt;2,UPPER(Supplementary!F31),"")</f>
        <v/>
      </c>
      <c r="K48" s="425" t="str">
        <f>IF(COUNTBLANK(Supplementary!$C31:$D31)&lt;2,UPPER(Supplementary!G31),"")</f>
        <v/>
      </c>
      <c r="L48" s="425" t="str">
        <f>""</f>
        <v/>
      </c>
      <c r="M48" s="425" t="str">
        <f>IF(COUNTBLANK(Supplementary!$C31:$D31)&lt;2,IF(COUNTBLANK(Supplementary!$C31:$D31)&lt;2,IF(Supplementary!M31="X","X","")),"")</f>
        <v/>
      </c>
      <c r="N48" s="425" t="str">
        <f>IF(COUNTBLANK(Supplementary!$C31:$D31)&lt;2,IF(COUNTBLANK(Supplementary!$C31:$D31)&lt;2,IF(Supplementary!M31="N","N","")),"")</f>
        <v/>
      </c>
      <c r="O48" s="427" t="str">
        <f>IF(COUNTBLANK(Supplementary!$C31:$D31)&lt;2,IF(Supplementary!E31=0,0,Supplementary!E31),"")</f>
        <v/>
      </c>
      <c r="P48" s="426" t="str">
        <f>IF(COUNTBLANK(Supplementary!C31)=0,INT(Supplementary!AF31),"")</f>
        <v/>
      </c>
      <c r="Q48" s="425" t="str">
        <f>IF(COUNTBLANK(Supplementary!C31)=1,"",IF(P48&lt;14,"J","S"))</f>
        <v/>
      </c>
      <c r="R48" s="425" t="str">
        <f>IF(Supplementary!C31="","",IF(M48="X","K",IF(N48="N","PKEF","TRUE")))</f>
        <v/>
      </c>
      <c r="S48" s="425" t="str">
        <f>IF(LEFT(Supplementary!N31,1)="Y","TRUE","")</f>
        <v/>
      </c>
      <c r="T48" s="425" t="str">
        <f>IF(LEFT(Supplementary!O31,1)="Y","TRUE","")</f>
        <v/>
      </c>
      <c r="U48" s="425" t="str">
        <f>IF(LEFT(Supplementary!P31,1)="Y","TRUE","")</f>
        <v/>
      </c>
      <c r="V48" s="425" t="str">
        <f>IF(LEFT(Supplementary!Q31,1)="Y","TRUE","")</f>
        <v/>
      </c>
      <c r="W48" s="425" t="str">
        <f>IF(LEFT(Supplementary!R31,1)="Y","TRUE","")</f>
        <v/>
      </c>
      <c r="X48" s="425" t="str">
        <f>IF(Supplementary!T31="Open","TRUE","")</f>
        <v/>
      </c>
      <c r="Y48" s="425" t="str">
        <f>IF(Supplementary!T31="Sporter","TRUE","")</f>
        <v/>
      </c>
      <c r="Z48" s="425" t="str">
        <f>IF(COUNTBLANK(X48:Y48)=1,TRIM(PROPER(Supplementary!V31)),"")</f>
        <v/>
      </c>
      <c r="AA48" s="425" t="str">
        <f>IF(LEFT(Supplementary!S31,1)="Y","TRUE","")</f>
        <v/>
      </c>
      <c r="AB48" s="425" t="str">
        <f>IF(LEFT(Supplementary!X31,1)="Y","TRUE","")</f>
        <v/>
      </c>
      <c r="AC48" s="425" t="str">
        <f>IF(LEFT(Supplementary!W31,1)="Y","TRUE","")</f>
        <v/>
      </c>
      <c r="AD48" s="425" t="str">
        <f>IF(Supplementary!Y31="A","TRUE","")</f>
        <v/>
      </c>
      <c r="AE48" s="425" t="str">
        <f>IF(Supplementary!Y31="B","TRUE","")</f>
        <v/>
      </c>
      <c r="AF48" s="425" t="str">
        <f>IF(Supplementary!Z31="A","TRUE","")</f>
        <v/>
      </c>
      <c r="AG48" s="425" t="str">
        <f>IF(Supplementary!Z31="B","TRUE","")</f>
        <v/>
      </c>
      <c r="AH48" s="425" t="str">
        <f>IF(Supplementary!Z31="X","TRUE","")</f>
        <v/>
      </c>
      <c r="AI48" s="425" t="str">
        <f>IF(LEN(Supplementary!N31)&gt;1,Supplementary!N31,"")</f>
        <v/>
      </c>
      <c r="AJ48" s="425" t="str">
        <f>IF(LEN(Supplementary!O31)&gt;1,Supplementary!O31,"")</f>
        <v/>
      </c>
      <c r="AK48" s="425" t="str">
        <f>IF(LEN(Supplementary!P31)&gt;1,Supplementary!P31,"")</f>
        <v/>
      </c>
      <c r="AL48" s="425" t="str">
        <f>IF(LEN(Supplementary!Q31)&gt;1,Supplementary!Q31,"")</f>
        <v/>
      </c>
      <c r="AM48" s="425" t="str">
        <f>IF(LEN(Supplementary!R31)&gt;1,Supplementary!R31,"")</f>
        <v/>
      </c>
      <c r="AN48" s="425" t="str">
        <f>IF(LEN(Supplementary!S31)&gt;1,Supplementary!S31,"")</f>
        <v/>
      </c>
      <c r="AO48" s="425" t="str">
        <f>IF(LEN(Supplementary!U31)&gt;1,Supplementary!U31,"")</f>
        <v/>
      </c>
      <c r="AP48" s="425" t="str">
        <f>IF(LEN(Supplementary!W31)&gt;1,Supplementary!W31,"")</f>
        <v/>
      </c>
      <c r="AQ48" s="425" t="str">
        <f>IF(COUNTBLANK(Supplementary!$C31:$D31)&lt;2,Supplementary!AQ31,"")</f>
        <v/>
      </c>
    </row>
    <row r="49" spans="1:43" ht="13.5" x14ac:dyDescent="0.25">
      <c r="A49" s="425" t="str">
        <f>IF(COUNTBLANK(Supplementary!$C32:$D32)&lt;2,Supplementary!B32,"")</f>
        <v/>
      </c>
      <c r="B49" s="426" t="str">
        <f>IF(COUNTBLANK(Supplementary!$C32:$D32)&lt;2,'Team Data'!A$2,"")</f>
        <v/>
      </c>
      <c r="C49" s="426" t="str">
        <f>IF(COUNTBLANK(Supplementary!$C32:$D32)&lt;2,'Team Data'!C17,"")</f>
        <v/>
      </c>
      <c r="D49" s="426"/>
      <c r="E49" s="426" t="str">
        <f>IF(COUNTBLANK(Supplementary!$C32:$D32)&lt;2,TRIM(PROPER(Supplementary!C32)),"")</f>
        <v/>
      </c>
      <c r="F49" s="426" t="str">
        <f>IF(COUNTBLANK(Supplementary!$C32:$D32)&lt;2,TRIM(PROPER(Supplementary!D32)),"")</f>
        <v/>
      </c>
      <c r="G49" s="425" t="str">
        <f>IF(COUNTBLANK(Supplementary!$C32:$D32)&lt;2,Supplementary!H32,"")</f>
        <v/>
      </c>
      <c r="H49" s="425" t="str">
        <f>IF(COUNTBLANK(Supplementary!$C32:$D32)&lt;2,Supplementary!I32,"")</f>
        <v/>
      </c>
      <c r="I49" s="425" t="str">
        <f>IF(COUNTBLANK(Supplementary!$C32:$D32)&lt;2,Supplementary!K32,"")</f>
        <v/>
      </c>
      <c r="J49" s="425" t="str">
        <f>IF(COUNTBLANK(Supplementary!$C32:$D32)&lt;2,UPPER(Supplementary!F32),"")</f>
        <v/>
      </c>
      <c r="K49" s="425" t="str">
        <f>IF(COUNTBLANK(Supplementary!$C32:$D32)&lt;2,UPPER(Supplementary!G32),"")</f>
        <v/>
      </c>
      <c r="L49" s="425" t="str">
        <f>""</f>
        <v/>
      </c>
      <c r="M49" s="425" t="str">
        <f>IF(COUNTBLANK(Supplementary!$C32:$D32)&lt;2,IF(COUNTBLANK(Supplementary!$C32:$D32)&lt;2,IF(Supplementary!M32="X","X","")),"")</f>
        <v/>
      </c>
      <c r="N49" s="425" t="str">
        <f>IF(COUNTBLANK(Supplementary!$C32:$D32)&lt;2,IF(COUNTBLANK(Supplementary!$C32:$D32)&lt;2,IF(Supplementary!M32="N","N","")),"")</f>
        <v/>
      </c>
      <c r="O49" s="427" t="str">
        <f>IF(COUNTBLANK(Supplementary!$C32:$D32)&lt;2,IF(Supplementary!E32=0,0,Supplementary!E32),"")</f>
        <v/>
      </c>
      <c r="P49" s="426" t="str">
        <f>IF(COUNTBLANK(Supplementary!C32)=0,INT(Supplementary!AF32),"")</f>
        <v/>
      </c>
      <c r="Q49" s="425" t="str">
        <f>IF(COUNTBLANK(Supplementary!C32)=1,"",IF(P49&lt;14,"J","S"))</f>
        <v/>
      </c>
      <c r="R49" s="425" t="str">
        <f>IF(Supplementary!C32="","",IF(M49="X","K",IF(N49="N","PKEF","TRUE")))</f>
        <v/>
      </c>
      <c r="S49" s="425" t="str">
        <f>IF(LEFT(Supplementary!N32,1)="Y","TRUE","")</f>
        <v/>
      </c>
      <c r="T49" s="425" t="str">
        <f>IF(LEFT(Supplementary!O32,1)="Y","TRUE","")</f>
        <v/>
      </c>
      <c r="U49" s="425" t="str">
        <f>IF(LEFT(Supplementary!P32,1)="Y","TRUE","")</f>
        <v/>
      </c>
      <c r="V49" s="425" t="str">
        <f>IF(LEFT(Supplementary!Q32,1)="Y","TRUE","")</f>
        <v/>
      </c>
      <c r="W49" s="425" t="str">
        <f>IF(LEFT(Supplementary!R32,1)="Y","TRUE","")</f>
        <v/>
      </c>
      <c r="X49" s="425" t="str">
        <f>IF(Supplementary!T32="Open","TRUE","")</f>
        <v/>
      </c>
      <c r="Y49" s="425" t="str">
        <f>IF(Supplementary!T32="Sporter","TRUE","")</f>
        <v/>
      </c>
      <c r="Z49" s="425" t="str">
        <f>IF(COUNTBLANK(X49:Y49)=1,TRIM(PROPER(Supplementary!V32)),"")</f>
        <v/>
      </c>
      <c r="AA49" s="425" t="str">
        <f>IF(LEFT(Supplementary!S32,1)="Y","TRUE","")</f>
        <v/>
      </c>
      <c r="AB49" s="425" t="str">
        <f>IF(LEFT(Supplementary!X32,1)="Y","TRUE","")</f>
        <v/>
      </c>
      <c r="AC49" s="425" t="str">
        <f>IF(LEFT(Supplementary!W32,1)="Y","TRUE","")</f>
        <v/>
      </c>
      <c r="AD49" s="425" t="str">
        <f>IF(Supplementary!Y32="A","TRUE","")</f>
        <v/>
      </c>
      <c r="AE49" s="425" t="str">
        <f>IF(Supplementary!Y32="B","TRUE","")</f>
        <v/>
      </c>
      <c r="AF49" s="425" t="str">
        <f>IF(Supplementary!Z32="A","TRUE","")</f>
        <v/>
      </c>
      <c r="AG49" s="425" t="str">
        <f>IF(Supplementary!Z32="B","TRUE","")</f>
        <v/>
      </c>
      <c r="AH49" s="425" t="str">
        <f>IF(Supplementary!Z32="X","TRUE","")</f>
        <v/>
      </c>
      <c r="AI49" s="425" t="str">
        <f>IF(LEN(Supplementary!N32)&gt;1,Supplementary!N32,"")</f>
        <v/>
      </c>
      <c r="AJ49" s="425" t="str">
        <f>IF(LEN(Supplementary!O32)&gt;1,Supplementary!O32,"")</f>
        <v/>
      </c>
      <c r="AK49" s="425" t="str">
        <f>IF(LEN(Supplementary!P32)&gt;1,Supplementary!P32,"")</f>
        <v/>
      </c>
      <c r="AL49" s="425" t="str">
        <f>IF(LEN(Supplementary!Q32)&gt;1,Supplementary!Q32,"")</f>
        <v/>
      </c>
      <c r="AM49" s="425" t="str">
        <f>IF(LEN(Supplementary!R32)&gt;1,Supplementary!R32,"")</f>
        <v/>
      </c>
      <c r="AN49" s="425" t="str">
        <f>IF(LEN(Supplementary!S32)&gt;1,Supplementary!S32,"")</f>
        <v/>
      </c>
      <c r="AO49" s="425" t="str">
        <f>IF(LEN(Supplementary!U32)&gt;1,Supplementary!U32,"")</f>
        <v/>
      </c>
      <c r="AP49" s="425" t="str">
        <f>IF(LEN(Supplementary!W32)&gt;1,Supplementary!W32,"")</f>
        <v/>
      </c>
      <c r="AQ49" s="425" t="str">
        <f>IF(COUNTBLANK(Supplementary!$C32:$D32)&lt;2,Supplementary!AQ32,"")</f>
        <v/>
      </c>
    </row>
    <row r="50" spans="1:43" ht="13.5" x14ac:dyDescent="0.25">
      <c r="A50" s="425" t="str">
        <f>IF(COUNTBLANK(Supplementary!$C33:$D33)&lt;2,Supplementary!B33,"")</f>
        <v/>
      </c>
      <c r="B50" s="426" t="str">
        <f>IF(COUNTBLANK(Supplementary!$C33:$D33)&lt;2,'Team Data'!A$2,"")</f>
        <v/>
      </c>
      <c r="C50" s="426" t="str">
        <f>IF(COUNTBLANK(Supplementary!$C33:$D33)&lt;2,'Team Data'!C18,"")</f>
        <v/>
      </c>
      <c r="D50" s="426"/>
      <c r="E50" s="426" t="str">
        <f>IF(COUNTBLANK(Supplementary!$C33:$D33)&lt;2,TRIM(PROPER(Supplementary!C33)),"")</f>
        <v/>
      </c>
      <c r="F50" s="426" t="str">
        <f>IF(COUNTBLANK(Supplementary!$C33:$D33)&lt;2,TRIM(PROPER(Supplementary!D33)),"")</f>
        <v/>
      </c>
      <c r="G50" s="425" t="str">
        <f>IF(COUNTBLANK(Supplementary!$C33:$D33)&lt;2,Supplementary!H33,"")</f>
        <v/>
      </c>
      <c r="H50" s="425" t="str">
        <f>IF(COUNTBLANK(Supplementary!$C33:$D33)&lt;2,Supplementary!I33,"")</f>
        <v/>
      </c>
      <c r="I50" s="425" t="str">
        <f>IF(COUNTBLANK(Supplementary!$C33:$D33)&lt;2,Supplementary!K33,"")</f>
        <v/>
      </c>
      <c r="J50" s="425" t="str">
        <f>IF(COUNTBLANK(Supplementary!$C33:$D33)&lt;2,UPPER(Supplementary!F33),"")</f>
        <v/>
      </c>
      <c r="K50" s="425" t="str">
        <f>IF(COUNTBLANK(Supplementary!$C33:$D33)&lt;2,UPPER(Supplementary!G33),"")</f>
        <v/>
      </c>
      <c r="L50" s="425" t="str">
        <f>""</f>
        <v/>
      </c>
      <c r="M50" s="425" t="str">
        <f>IF(COUNTBLANK(Supplementary!$C33:$D33)&lt;2,IF(COUNTBLANK(Supplementary!$C33:$D33)&lt;2,IF(Supplementary!M33="X","X","")),"")</f>
        <v/>
      </c>
      <c r="N50" s="425" t="str">
        <f>IF(COUNTBLANK(Supplementary!$C33:$D33)&lt;2,IF(COUNTBLANK(Supplementary!$C33:$D33)&lt;2,IF(Supplementary!M33="N","N","")),"")</f>
        <v/>
      </c>
      <c r="O50" s="427" t="str">
        <f>IF(COUNTBLANK(Supplementary!$C33:$D33)&lt;2,IF(Supplementary!E33=0,0,Supplementary!E33),"")</f>
        <v/>
      </c>
      <c r="P50" s="426" t="str">
        <f>IF(COUNTBLANK(Supplementary!C33)=0,INT(Supplementary!AF33),"")</f>
        <v/>
      </c>
      <c r="Q50" s="425" t="str">
        <f>IF(COUNTBLANK(Supplementary!C33)=1,"",IF(P50&lt;14,"J","S"))</f>
        <v/>
      </c>
      <c r="R50" s="425" t="str">
        <f>IF(Supplementary!C33="","",IF(M50="X","K",IF(N50="N","PKEF","TRUE")))</f>
        <v/>
      </c>
      <c r="S50" s="425" t="str">
        <f>IF(LEFT(Supplementary!N33,1)="Y","TRUE","")</f>
        <v/>
      </c>
      <c r="T50" s="425" t="str">
        <f>IF(LEFT(Supplementary!O33,1)="Y","TRUE","")</f>
        <v/>
      </c>
      <c r="U50" s="425" t="str">
        <f>IF(LEFT(Supplementary!P33,1)="Y","TRUE","")</f>
        <v/>
      </c>
      <c r="V50" s="425" t="str">
        <f>IF(LEFT(Supplementary!Q33,1)="Y","TRUE","")</f>
        <v/>
      </c>
      <c r="W50" s="425" t="str">
        <f>IF(LEFT(Supplementary!R33,1)="Y","TRUE","")</f>
        <v/>
      </c>
      <c r="X50" s="425" t="str">
        <f>IF(Supplementary!T33="Open","TRUE","")</f>
        <v/>
      </c>
      <c r="Y50" s="425" t="str">
        <f>IF(Supplementary!T33="Sporter","TRUE","")</f>
        <v/>
      </c>
      <c r="Z50" s="425" t="str">
        <f>IF(COUNTBLANK(X50:Y50)=1,TRIM(PROPER(Supplementary!V33)),"")</f>
        <v/>
      </c>
      <c r="AA50" s="425" t="str">
        <f>IF(LEFT(Supplementary!S33,1)="Y","TRUE","")</f>
        <v/>
      </c>
      <c r="AB50" s="425" t="str">
        <f>IF(LEFT(Supplementary!X33,1)="Y","TRUE","")</f>
        <v/>
      </c>
      <c r="AC50" s="425" t="str">
        <f>IF(LEFT(Supplementary!W33,1)="Y","TRUE","")</f>
        <v/>
      </c>
      <c r="AD50" s="425" t="str">
        <f>IF(Supplementary!Y33="A","TRUE","")</f>
        <v/>
      </c>
      <c r="AE50" s="425" t="str">
        <f>IF(Supplementary!Y33="B","TRUE","")</f>
        <v/>
      </c>
      <c r="AF50" s="425" t="str">
        <f>IF(Supplementary!Z33="A","TRUE","")</f>
        <v/>
      </c>
      <c r="AG50" s="425" t="str">
        <f>IF(Supplementary!Z33="B","TRUE","")</f>
        <v/>
      </c>
      <c r="AH50" s="425" t="str">
        <f>IF(Supplementary!Z33="X","TRUE","")</f>
        <v/>
      </c>
      <c r="AI50" s="425" t="str">
        <f>IF(LEN(Supplementary!N33)&gt;1,Supplementary!N33,"")</f>
        <v/>
      </c>
      <c r="AJ50" s="425" t="str">
        <f>IF(LEN(Supplementary!O33)&gt;1,Supplementary!O33,"")</f>
        <v/>
      </c>
      <c r="AK50" s="425" t="str">
        <f>IF(LEN(Supplementary!P33)&gt;1,Supplementary!P33,"")</f>
        <v/>
      </c>
      <c r="AL50" s="425" t="str">
        <f>IF(LEN(Supplementary!Q33)&gt;1,Supplementary!Q33,"")</f>
        <v/>
      </c>
      <c r="AM50" s="425" t="str">
        <f>IF(LEN(Supplementary!R33)&gt;1,Supplementary!R33,"")</f>
        <v/>
      </c>
      <c r="AN50" s="425" t="str">
        <f>IF(LEN(Supplementary!S33)&gt;1,Supplementary!S33,"")</f>
        <v/>
      </c>
      <c r="AO50" s="425" t="str">
        <f>IF(LEN(Supplementary!U33)&gt;1,Supplementary!U33,"")</f>
        <v/>
      </c>
      <c r="AP50" s="425" t="str">
        <f>IF(LEN(Supplementary!W33)&gt;1,Supplementary!W33,"")</f>
        <v/>
      </c>
      <c r="AQ50" s="425" t="str">
        <f>IF(COUNTBLANK(Supplementary!$C33:$D33)&lt;2,Supplementary!AQ33,"")</f>
        <v/>
      </c>
    </row>
    <row r="51" spans="1:43" ht="13.5" x14ac:dyDescent="0.25">
      <c r="A51" s="425" t="str">
        <f>IF(COUNTBLANK(Supplementary!$C34:$D34)&lt;2,Supplementary!B34,"")</f>
        <v/>
      </c>
      <c r="B51" s="426" t="str">
        <f>IF(COUNTBLANK(Supplementary!$C34:$D34)&lt;2,'Team Data'!A$2,"")</f>
        <v/>
      </c>
      <c r="C51" s="426" t="str">
        <f>IF(COUNTBLANK(Supplementary!$C34:$D34)&lt;2,'Team Data'!C19,"")</f>
        <v/>
      </c>
      <c r="D51" s="426"/>
      <c r="E51" s="426" t="str">
        <f>IF(COUNTBLANK(Supplementary!$C34:$D34)&lt;2,TRIM(PROPER(Supplementary!C34)),"")</f>
        <v/>
      </c>
      <c r="F51" s="426" t="str">
        <f>IF(COUNTBLANK(Supplementary!$C34:$D34)&lt;2,TRIM(PROPER(Supplementary!D34)),"")</f>
        <v/>
      </c>
      <c r="G51" s="425" t="str">
        <f>IF(COUNTBLANK(Supplementary!$C34:$D34)&lt;2,Supplementary!H34,"")</f>
        <v/>
      </c>
      <c r="H51" s="425" t="str">
        <f>IF(COUNTBLANK(Supplementary!$C34:$D34)&lt;2,Supplementary!I34,"")</f>
        <v/>
      </c>
      <c r="I51" s="425" t="str">
        <f>IF(COUNTBLANK(Supplementary!$C34:$D34)&lt;2,Supplementary!K34,"")</f>
        <v/>
      </c>
      <c r="J51" s="425" t="str">
        <f>IF(COUNTBLANK(Supplementary!$C34:$D34)&lt;2,UPPER(Supplementary!F34),"")</f>
        <v/>
      </c>
      <c r="K51" s="425" t="str">
        <f>IF(COUNTBLANK(Supplementary!$C34:$D34)&lt;2,UPPER(Supplementary!G34),"")</f>
        <v/>
      </c>
      <c r="L51" s="425" t="str">
        <f>""</f>
        <v/>
      </c>
      <c r="M51" s="425" t="str">
        <f>IF(COUNTBLANK(Supplementary!$C34:$D34)&lt;2,IF(COUNTBLANK(Supplementary!$C34:$D34)&lt;2,IF(Supplementary!M34="X","X","")),"")</f>
        <v/>
      </c>
      <c r="N51" s="425" t="str">
        <f>IF(COUNTBLANK(Supplementary!$C34:$D34)&lt;2,IF(COUNTBLANK(Supplementary!$C34:$D34)&lt;2,IF(Supplementary!M34="N","N","")),"")</f>
        <v/>
      </c>
      <c r="O51" s="427" t="str">
        <f>IF(COUNTBLANK(Supplementary!$C34:$D34)&lt;2,IF(Supplementary!E34=0,0,Supplementary!E34),"")</f>
        <v/>
      </c>
      <c r="P51" s="426" t="str">
        <f>IF(COUNTBLANK(Supplementary!C34)=0,INT(Supplementary!AF34),"")</f>
        <v/>
      </c>
      <c r="Q51" s="425" t="str">
        <f>IF(COUNTBLANK(Supplementary!C34)=1,"",IF(P51&lt;14,"J","S"))</f>
        <v/>
      </c>
      <c r="R51" s="425" t="str">
        <f>IF(Supplementary!C34="","",IF(M51="X","K",IF(N51="N","PKEF","TRUE")))</f>
        <v/>
      </c>
      <c r="S51" s="425" t="str">
        <f>IF(LEFT(Supplementary!N34,1)="Y","TRUE","")</f>
        <v/>
      </c>
      <c r="T51" s="425" t="str">
        <f>IF(LEFT(Supplementary!O34,1)="Y","TRUE","")</f>
        <v/>
      </c>
      <c r="U51" s="425" t="str">
        <f>IF(LEFT(Supplementary!P34,1)="Y","TRUE","")</f>
        <v/>
      </c>
      <c r="V51" s="425" t="str">
        <f>IF(LEFT(Supplementary!Q34,1)="Y","TRUE","")</f>
        <v/>
      </c>
      <c r="W51" s="425" t="str">
        <f>IF(LEFT(Supplementary!R34,1)="Y","TRUE","")</f>
        <v/>
      </c>
      <c r="X51" s="425" t="str">
        <f>IF(Supplementary!T34="Open","TRUE","")</f>
        <v/>
      </c>
      <c r="Y51" s="425" t="str">
        <f>IF(Supplementary!T34="Sporter","TRUE","")</f>
        <v/>
      </c>
      <c r="Z51" s="425" t="str">
        <f>IF(COUNTBLANK(X51:Y51)=1,TRIM(PROPER(Supplementary!V34)),"")</f>
        <v/>
      </c>
      <c r="AA51" s="425" t="str">
        <f>IF(LEFT(Supplementary!S34,1)="Y","TRUE","")</f>
        <v/>
      </c>
      <c r="AB51" s="425" t="str">
        <f>IF(LEFT(Supplementary!X34,1)="Y","TRUE","")</f>
        <v/>
      </c>
      <c r="AC51" s="425" t="str">
        <f>IF(LEFT(Supplementary!W34,1)="Y","TRUE","")</f>
        <v/>
      </c>
      <c r="AD51" s="425" t="str">
        <f>IF(Supplementary!Y34="A","TRUE","")</f>
        <v/>
      </c>
      <c r="AE51" s="425" t="str">
        <f>IF(Supplementary!Y34="B","TRUE","")</f>
        <v/>
      </c>
      <c r="AF51" s="425" t="str">
        <f>IF(Supplementary!Z34="A","TRUE","")</f>
        <v/>
      </c>
      <c r="AG51" s="425" t="str">
        <f>IF(Supplementary!Z34="B","TRUE","")</f>
        <v/>
      </c>
      <c r="AH51" s="425" t="str">
        <f>IF(Supplementary!Z34="X","TRUE","")</f>
        <v/>
      </c>
      <c r="AI51" s="425" t="str">
        <f>IF(LEN(Supplementary!N34)&gt;1,Supplementary!N34,"")</f>
        <v/>
      </c>
      <c r="AJ51" s="425" t="str">
        <f>IF(LEN(Supplementary!O34)&gt;1,Supplementary!O34,"")</f>
        <v/>
      </c>
      <c r="AK51" s="425" t="str">
        <f>IF(LEN(Supplementary!P34)&gt;1,Supplementary!P34,"")</f>
        <v/>
      </c>
      <c r="AL51" s="425" t="str">
        <f>IF(LEN(Supplementary!Q34)&gt;1,Supplementary!Q34,"")</f>
        <v/>
      </c>
      <c r="AM51" s="425" t="str">
        <f>IF(LEN(Supplementary!R34)&gt;1,Supplementary!R34,"")</f>
        <v/>
      </c>
      <c r="AN51" s="425" t="str">
        <f>IF(LEN(Supplementary!S34)&gt;1,Supplementary!S34,"")</f>
        <v/>
      </c>
      <c r="AO51" s="425" t="str">
        <f>IF(LEN(Supplementary!U34)&gt;1,Supplementary!U34,"")</f>
        <v/>
      </c>
      <c r="AP51" s="425" t="str">
        <f>IF(LEN(Supplementary!W34)&gt;1,Supplementary!W34,"")</f>
        <v/>
      </c>
      <c r="AQ51" s="425" t="str">
        <f>IF(COUNTBLANK(Supplementary!$C34:$D34)&lt;2,Supplementary!AQ34,"")</f>
        <v/>
      </c>
    </row>
    <row r="52" spans="1:43" ht="13.5" x14ac:dyDescent="0.25">
      <c r="A52" s="425" t="str">
        <f>IF(COUNTBLANK(Supplementary!$C35:$D35)&lt;2,Supplementary!B35,"")</f>
        <v/>
      </c>
      <c r="B52" s="426" t="str">
        <f>IF(COUNTBLANK(Supplementary!$C35:$D35)&lt;2,'Team Data'!A$2,"")</f>
        <v/>
      </c>
      <c r="C52" s="426" t="str">
        <f>IF(COUNTBLANK(Supplementary!$C35:$D35)&lt;2,'Team Data'!C20,"")</f>
        <v/>
      </c>
      <c r="D52" s="426"/>
      <c r="E52" s="426" t="str">
        <f>IF(COUNTBLANK(Supplementary!$C35:$D35)&lt;2,TRIM(PROPER(Supplementary!C35)),"")</f>
        <v/>
      </c>
      <c r="F52" s="426" t="str">
        <f>IF(COUNTBLANK(Supplementary!$C35:$D35)&lt;2,TRIM(PROPER(Supplementary!D35)),"")</f>
        <v/>
      </c>
      <c r="G52" s="425" t="str">
        <f>IF(COUNTBLANK(Supplementary!$C35:$D35)&lt;2,Supplementary!H35,"")</f>
        <v/>
      </c>
      <c r="H52" s="425" t="str">
        <f>IF(COUNTBLANK(Supplementary!$C35:$D35)&lt;2,Supplementary!I35,"")</f>
        <v/>
      </c>
      <c r="I52" s="425" t="str">
        <f>IF(COUNTBLANK(Supplementary!$C35:$D35)&lt;2,Supplementary!K35,"")</f>
        <v/>
      </c>
      <c r="J52" s="425" t="str">
        <f>IF(COUNTBLANK(Supplementary!$C35:$D35)&lt;2,UPPER(Supplementary!F35),"")</f>
        <v/>
      </c>
      <c r="K52" s="425" t="str">
        <f>IF(COUNTBLANK(Supplementary!$C35:$D35)&lt;2,UPPER(Supplementary!G35),"")</f>
        <v/>
      </c>
      <c r="L52" s="425" t="str">
        <f>""</f>
        <v/>
      </c>
      <c r="M52" s="425" t="str">
        <f>IF(COUNTBLANK(Supplementary!$C35:$D35)&lt;2,IF(COUNTBLANK(Supplementary!$C35:$D35)&lt;2,IF(Supplementary!M35="X","X","")),"")</f>
        <v/>
      </c>
      <c r="N52" s="425" t="str">
        <f>IF(COUNTBLANK(Supplementary!$C35:$D35)&lt;2,IF(COUNTBLANK(Supplementary!$C35:$D35)&lt;2,IF(Supplementary!M35="N","N","")),"")</f>
        <v/>
      </c>
      <c r="O52" s="427" t="str">
        <f>IF(COUNTBLANK(Supplementary!$C35:$D35)&lt;2,IF(Supplementary!E35=0,0,Supplementary!E35),"")</f>
        <v/>
      </c>
      <c r="P52" s="426" t="str">
        <f>IF(COUNTBLANK(Supplementary!C35)=0,INT(Supplementary!AF35),"")</f>
        <v/>
      </c>
      <c r="Q52" s="425" t="str">
        <f>IF(COUNTBLANK(Supplementary!C35)=1,"",IF(P52&lt;14,"J","S"))</f>
        <v/>
      </c>
      <c r="R52" s="425" t="str">
        <f>IF(Supplementary!C35="","",IF(M52="X","K",IF(N52="N","PKEF","TRUE")))</f>
        <v/>
      </c>
      <c r="S52" s="425" t="str">
        <f>IF(LEFT(Supplementary!N35,1)="Y","TRUE","")</f>
        <v/>
      </c>
      <c r="T52" s="425" t="str">
        <f>IF(LEFT(Supplementary!O35,1)="Y","TRUE","")</f>
        <v/>
      </c>
      <c r="U52" s="425" t="str">
        <f>IF(LEFT(Supplementary!P35,1)="Y","TRUE","")</f>
        <v/>
      </c>
      <c r="V52" s="425" t="str">
        <f>IF(LEFT(Supplementary!Q35,1)="Y","TRUE","")</f>
        <v/>
      </c>
      <c r="W52" s="425" t="str">
        <f>IF(LEFT(Supplementary!R35,1)="Y","TRUE","")</f>
        <v/>
      </c>
      <c r="X52" s="425" t="str">
        <f>IF(Supplementary!T35="Open","TRUE","")</f>
        <v/>
      </c>
      <c r="Y52" s="425" t="str">
        <f>IF(Supplementary!T35="Sporter","TRUE","")</f>
        <v/>
      </c>
      <c r="Z52" s="425" t="str">
        <f>IF(COUNTBLANK(X52:Y52)=1,TRIM(PROPER(Supplementary!V35)),"")</f>
        <v/>
      </c>
      <c r="AA52" s="425" t="str">
        <f>IF(LEFT(Supplementary!S35,1)="Y","TRUE","")</f>
        <v/>
      </c>
      <c r="AB52" s="425" t="str">
        <f>IF(LEFT(Supplementary!X35,1)="Y","TRUE","")</f>
        <v/>
      </c>
      <c r="AC52" s="425" t="str">
        <f>IF(LEFT(Supplementary!W35,1)="Y","TRUE","")</f>
        <v/>
      </c>
      <c r="AD52" s="425" t="str">
        <f>IF(Supplementary!Y35="A","TRUE","")</f>
        <v/>
      </c>
      <c r="AE52" s="425" t="str">
        <f>IF(Supplementary!Y35="B","TRUE","")</f>
        <v/>
      </c>
      <c r="AF52" s="425" t="str">
        <f>IF(Supplementary!Z35="A","TRUE","")</f>
        <v/>
      </c>
      <c r="AG52" s="425" t="str">
        <f>IF(Supplementary!Z35="B","TRUE","")</f>
        <v/>
      </c>
      <c r="AH52" s="425" t="str">
        <f>IF(Supplementary!Z35="X","TRUE","")</f>
        <v/>
      </c>
      <c r="AI52" s="425" t="str">
        <f>IF(LEN(Supplementary!N35)&gt;1,Supplementary!N35,"")</f>
        <v/>
      </c>
      <c r="AJ52" s="425" t="str">
        <f>IF(LEN(Supplementary!O35)&gt;1,Supplementary!O35,"")</f>
        <v/>
      </c>
      <c r="AK52" s="425" t="str">
        <f>IF(LEN(Supplementary!P35)&gt;1,Supplementary!P35,"")</f>
        <v/>
      </c>
      <c r="AL52" s="425" t="str">
        <f>IF(LEN(Supplementary!Q35)&gt;1,Supplementary!Q35,"")</f>
        <v/>
      </c>
      <c r="AM52" s="425" t="str">
        <f>IF(LEN(Supplementary!R35)&gt;1,Supplementary!R35,"")</f>
        <v/>
      </c>
      <c r="AN52" s="425" t="str">
        <f>IF(LEN(Supplementary!S35)&gt;1,Supplementary!S35,"")</f>
        <v/>
      </c>
      <c r="AO52" s="425" t="str">
        <f>IF(LEN(Supplementary!U35)&gt;1,Supplementary!U35,"")</f>
        <v/>
      </c>
      <c r="AP52" s="425" t="str">
        <f>IF(LEN(Supplementary!W35)&gt;1,Supplementary!W35,"")</f>
        <v/>
      </c>
      <c r="AQ52" s="425" t="str">
        <f>IF(COUNTBLANK(Supplementary!$C35:$D35)&lt;2,Supplementary!AQ35,"")</f>
        <v/>
      </c>
    </row>
    <row r="53" spans="1:43" ht="13.5" x14ac:dyDescent="0.25">
      <c r="A53" s="425" t="str">
        <f>IF(COUNTBLANK(Supplementary!$C36:$D36)&lt;2,Supplementary!B36,"")</f>
        <v/>
      </c>
      <c r="B53" s="426" t="str">
        <f>IF(COUNTBLANK(Supplementary!$C36:$D36)&lt;2,'Team Data'!A$2,"")</f>
        <v/>
      </c>
      <c r="C53" s="426" t="str">
        <f>IF(COUNTBLANK(Supplementary!$C36:$D36)&lt;2,'Team Data'!C21,"")</f>
        <v/>
      </c>
      <c r="D53" s="426"/>
      <c r="E53" s="426" t="str">
        <f>IF(COUNTBLANK(Supplementary!$C36:$D36)&lt;2,TRIM(PROPER(Supplementary!C36)),"")</f>
        <v/>
      </c>
      <c r="F53" s="426" t="str">
        <f>IF(COUNTBLANK(Supplementary!$C36:$D36)&lt;2,TRIM(PROPER(Supplementary!D36)),"")</f>
        <v/>
      </c>
      <c r="G53" s="425" t="str">
        <f>IF(COUNTBLANK(Supplementary!$C36:$D36)&lt;2,Supplementary!H36,"")</f>
        <v/>
      </c>
      <c r="H53" s="425" t="str">
        <f>IF(COUNTBLANK(Supplementary!$C36:$D36)&lt;2,Supplementary!I36,"")</f>
        <v/>
      </c>
      <c r="I53" s="425" t="str">
        <f>IF(COUNTBLANK(Supplementary!$C36:$D36)&lt;2,Supplementary!K36,"")</f>
        <v/>
      </c>
      <c r="J53" s="425" t="str">
        <f>IF(COUNTBLANK(Supplementary!$C36:$D36)&lt;2,UPPER(Supplementary!F36),"")</f>
        <v/>
      </c>
      <c r="K53" s="425" t="str">
        <f>IF(COUNTBLANK(Supplementary!$C36:$D36)&lt;2,UPPER(Supplementary!G36),"")</f>
        <v/>
      </c>
      <c r="L53" s="425" t="str">
        <f>""</f>
        <v/>
      </c>
      <c r="M53" s="425" t="str">
        <f>IF(COUNTBLANK(Supplementary!$C36:$D36)&lt;2,IF(COUNTBLANK(Supplementary!$C36:$D36)&lt;2,IF(Supplementary!M36="X","X","")),"")</f>
        <v/>
      </c>
      <c r="N53" s="425" t="str">
        <f>IF(COUNTBLANK(Supplementary!$C36:$D36)&lt;2,IF(COUNTBLANK(Supplementary!$C36:$D36)&lt;2,IF(Supplementary!M36="N","N","")),"")</f>
        <v/>
      </c>
      <c r="O53" s="427" t="str">
        <f>IF(COUNTBLANK(Supplementary!$C36:$D36)&lt;2,IF(Supplementary!E36=0,0,Supplementary!E36),"")</f>
        <v/>
      </c>
      <c r="P53" s="426" t="str">
        <f>IF(COUNTBLANK(Supplementary!C36)=0,INT(Supplementary!AF36),"")</f>
        <v/>
      </c>
      <c r="Q53" s="425" t="str">
        <f>IF(COUNTBLANK(Supplementary!C36)=1,"",IF(P53&lt;14,"J","S"))</f>
        <v/>
      </c>
      <c r="R53" s="425" t="str">
        <f>IF(Supplementary!C36="","",IF(M53="X","K",IF(N53="N","PKEF","TRUE")))</f>
        <v/>
      </c>
      <c r="S53" s="425" t="str">
        <f>IF(LEFT(Supplementary!N36,1)="Y","TRUE","")</f>
        <v/>
      </c>
      <c r="T53" s="425" t="str">
        <f>IF(LEFT(Supplementary!O36,1)="Y","TRUE","")</f>
        <v/>
      </c>
      <c r="U53" s="425" t="str">
        <f>IF(LEFT(Supplementary!P36,1)="Y","TRUE","")</f>
        <v/>
      </c>
      <c r="V53" s="425" t="str">
        <f>IF(LEFT(Supplementary!Q36,1)="Y","TRUE","")</f>
        <v/>
      </c>
      <c r="W53" s="425" t="str">
        <f>IF(LEFT(Supplementary!R36,1)="Y","TRUE","")</f>
        <v/>
      </c>
      <c r="X53" s="425" t="str">
        <f>IF(Supplementary!T36="Open","TRUE","")</f>
        <v/>
      </c>
      <c r="Y53" s="425" t="str">
        <f>IF(Supplementary!T36="Sporter","TRUE","")</f>
        <v/>
      </c>
      <c r="Z53" s="425" t="str">
        <f>IF(COUNTBLANK(X53:Y53)=1,TRIM(PROPER(Supplementary!V36)),"")</f>
        <v/>
      </c>
      <c r="AA53" s="425" t="str">
        <f>IF(LEFT(Supplementary!S36,1)="Y","TRUE","")</f>
        <v/>
      </c>
      <c r="AB53" s="425" t="str">
        <f>IF(LEFT(Supplementary!X36,1)="Y","TRUE","")</f>
        <v/>
      </c>
      <c r="AC53" s="425" t="str">
        <f>IF(LEFT(Supplementary!W36,1)="Y","TRUE","")</f>
        <v/>
      </c>
      <c r="AD53" s="425" t="str">
        <f>IF(Supplementary!Y36="A","TRUE","")</f>
        <v/>
      </c>
      <c r="AE53" s="425" t="str">
        <f>IF(Supplementary!Y36="B","TRUE","")</f>
        <v/>
      </c>
      <c r="AF53" s="425" t="str">
        <f>IF(Supplementary!Z36="A","TRUE","")</f>
        <v/>
      </c>
      <c r="AG53" s="425" t="str">
        <f>IF(Supplementary!Z36="B","TRUE","")</f>
        <v/>
      </c>
      <c r="AH53" s="425" t="str">
        <f>IF(Supplementary!Z36="X","TRUE","")</f>
        <v/>
      </c>
      <c r="AI53" s="425" t="str">
        <f>IF(LEN(Supplementary!N36)&gt;1,Supplementary!N36,"")</f>
        <v/>
      </c>
      <c r="AJ53" s="425" t="str">
        <f>IF(LEN(Supplementary!O36)&gt;1,Supplementary!O36,"")</f>
        <v/>
      </c>
      <c r="AK53" s="425" t="str">
        <f>IF(LEN(Supplementary!P36)&gt;1,Supplementary!P36,"")</f>
        <v/>
      </c>
      <c r="AL53" s="425" t="str">
        <f>IF(LEN(Supplementary!Q36)&gt;1,Supplementary!Q36,"")</f>
        <v/>
      </c>
      <c r="AM53" s="425" t="str">
        <f>IF(LEN(Supplementary!R36)&gt;1,Supplementary!R36,"")</f>
        <v/>
      </c>
      <c r="AN53" s="425" t="str">
        <f>IF(LEN(Supplementary!S36)&gt;1,Supplementary!S36,"")</f>
        <v/>
      </c>
      <c r="AO53" s="425" t="str">
        <f>IF(LEN(Supplementary!U36)&gt;1,Supplementary!U36,"")</f>
        <v/>
      </c>
      <c r="AP53" s="425" t="str">
        <f>IF(LEN(Supplementary!W36)&gt;1,Supplementary!W36,"")</f>
        <v/>
      </c>
      <c r="AQ53" s="425" t="str">
        <f>IF(COUNTBLANK(Supplementary!$C36:$D36)&lt;2,Supplementary!AQ36,"")</f>
        <v/>
      </c>
    </row>
    <row r="54" spans="1:43" ht="13.5" x14ac:dyDescent="0.25">
      <c r="A54" s="425" t="str">
        <f>IF(COUNTBLANK(Supplementary!$C37:$D37)&lt;2,Supplementary!B37,"")</f>
        <v/>
      </c>
      <c r="B54" s="426" t="str">
        <f>IF(COUNTBLANK(Supplementary!$C37:$D37)&lt;2,'Team Data'!A$2,"")</f>
        <v/>
      </c>
      <c r="C54" s="426" t="str">
        <f>IF(COUNTBLANK(Supplementary!$C37:$D37)&lt;2,'Team Data'!C22,"")</f>
        <v/>
      </c>
      <c r="D54" s="426"/>
      <c r="E54" s="426" t="str">
        <f>IF(COUNTBLANK(Supplementary!$C37:$D37)&lt;2,TRIM(PROPER(Supplementary!C37)),"")</f>
        <v/>
      </c>
      <c r="F54" s="426" t="str">
        <f>IF(COUNTBLANK(Supplementary!$C37:$D37)&lt;2,TRIM(PROPER(Supplementary!D37)),"")</f>
        <v/>
      </c>
      <c r="G54" s="425" t="str">
        <f>IF(COUNTBLANK(Supplementary!$C37:$D37)&lt;2,Supplementary!H37,"")</f>
        <v/>
      </c>
      <c r="H54" s="425" t="str">
        <f>IF(COUNTBLANK(Supplementary!$C37:$D37)&lt;2,Supplementary!I37,"")</f>
        <v/>
      </c>
      <c r="I54" s="425" t="str">
        <f>IF(COUNTBLANK(Supplementary!$C37:$D37)&lt;2,Supplementary!K37,"")</f>
        <v/>
      </c>
      <c r="J54" s="425" t="str">
        <f>IF(COUNTBLANK(Supplementary!$C37:$D37)&lt;2,UPPER(Supplementary!F37),"")</f>
        <v/>
      </c>
      <c r="K54" s="425" t="str">
        <f>IF(COUNTBLANK(Supplementary!$C37:$D37)&lt;2,UPPER(Supplementary!G37),"")</f>
        <v/>
      </c>
      <c r="L54" s="425" t="str">
        <f>""</f>
        <v/>
      </c>
      <c r="M54" s="425" t="str">
        <f>IF(COUNTBLANK(Supplementary!$C37:$D37)&lt;2,IF(COUNTBLANK(Supplementary!$C37:$D37)&lt;2,IF(Supplementary!M37="X","X","")),"")</f>
        <v/>
      </c>
      <c r="N54" s="425" t="str">
        <f>IF(COUNTBLANK(Supplementary!$C37:$D37)&lt;2,IF(COUNTBLANK(Supplementary!$C37:$D37)&lt;2,IF(Supplementary!M37="N","N","")),"")</f>
        <v/>
      </c>
      <c r="O54" s="427" t="str">
        <f>IF(COUNTBLANK(Supplementary!$C37:$D37)&lt;2,IF(Supplementary!E37=0,0,Supplementary!E37),"")</f>
        <v/>
      </c>
      <c r="P54" s="426" t="str">
        <f>IF(COUNTBLANK(Supplementary!C37)=0,INT(Supplementary!AF37),"")</f>
        <v/>
      </c>
      <c r="Q54" s="425" t="str">
        <f>IF(COUNTBLANK(Supplementary!C37)=1,"",IF(P54&lt;14,"J","S"))</f>
        <v/>
      </c>
      <c r="R54" s="425" t="str">
        <f>IF(Supplementary!C37="","",IF(M54="X","K",IF(N54="N","PKEF","TRUE")))</f>
        <v/>
      </c>
      <c r="S54" s="425" t="str">
        <f>IF(LEFT(Supplementary!N37,1)="Y","TRUE","")</f>
        <v/>
      </c>
      <c r="T54" s="425" t="str">
        <f>IF(LEFT(Supplementary!O37,1)="Y","TRUE","")</f>
        <v/>
      </c>
      <c r="U54" s="425" t="str">
        <f>IF(LEFT(Supplementary!P37,1)="Y","TRUE","")</f>
        <v/>
      </c>
      <c r="V54" s="425" t="str">
        <f>IF(LEFT(Supplementary!Q37,1)="Y","TRUE","")</f>
        <v/>
      </c>
      <c r="W54" s="425" t="str">
        <f>IF(LEFT(Supplementary!R37,1)="Y","TRUE","")</f>
        <v/>
      </c>
      <c r="X54" s="425" t="str">
        <f>IF(Supplementary!T37="Open","TRUE","")</f>
        <v/>
      </c>
      <c r="Y54" s="425" t="str">
        <f>IF(Supplementary!T37="Sporter","TRUE","")</f>
        <v/>
      </c>
      <c r="Z54" s="425" t="str">
        <f>IF(COUNTBLANK(X54:Y54)=1,TRIM(PROPER(Supplementary!V37)),"")</f>
        <v/>
      </c>
      <c r="AA54" s="425" t="str">
        <f>IF(LEFT(Supplementary!S37,1)="Y","TRUE","")</f>
        <v/>
      </c>
      <c r="AB54" s="425" t="str">
        <f>IF(LEFT(Supplementary!X37,1)="Y","TRUE","")</f>
        <v/>
      </c>
      <c r="AC54" s="425" t="str">
        <f>IF(LEFT(Supplementary!W37,1)="Y","TRUE","")</f>
        <v/>
      </c>
      <c r="AD54" s="425" t="str">
        <f>IF(Supplementary!Y37="A","TRUE","")</f>
        <v/>
      </c>
      <c r="AE54" s="425" t="str">
        <f>IF(Supplementary!Y37="B","TRUE","")</f>
        <v/>
      </c>
      <c r="AF54" s="425" t="str">
        <f>IF(Supplementary!Z37="A","TRUE","")</f>
        <v/>
      </c>
      <c r="AG54" s="425" t="str">
        <f>IF(Supplementary!Z37="B","TRUE","")</f>
        <v/>
      </c>
      <c r="AH54" s="425" t="str">
        <f>IF(Supplementary!Z37="X","TRUE","")</f>
        <v/>
      </c>
      <c r="AI54" s="425" t="str">
        <f>IF(LEN(Supplementary!N37)&gt;1,Supplementary!N37,"")</f>
        <v/>
      </c>
      <c r="AJ54" s="425" t="str">
        <f>IF(LEN(Supplementary!O37)&gt;1,Supplementary!O37,"")</f>
        <v/>
      </c>
      <c r="AK54" s="425" t="str">
        <f>IF(LEN(Supplementary!P37)&gt;1,Supplementary!P37,"")</f>
        <v/>
      </c>
      <c r="AL54" s="425" t="str">
        <f>IF(LEN(Supplementary!Q37)&gt;1,Supplementary!Q37,"")</f>
        <v/>
      </c>
      <c r="AM54" s="425" t="str">
        <f>IF(LEN(Supplementary!R37)&gt;1,Supplementary!R37,"")</f>
        <v/>
      </c>
      <c r="AN54" s="425" t="str">
        <f>IF(LEN(Supplementary!S37)&gt;1,Supplementary!S37,"")</f>
        <v/>
      </c>
      <c r="AO54" s="425" t="str">
        <f>IF(LEN(Supplementary!U37)&gt;1,Supplementary!U37,"")</f>
        <v/>
      </c>
      <c r="AP54" s="425" t="str">
        <f>IF(LEN(Supplementary!W37)&gt;1,Supplementary!W37,"")</f>
        <v/>
      </c>
      <c r="AQ54" s="425" t="str">
        <f>IF(COUNTBLANK(Supplementary!$C37:$D37)&lt;2,Supplementary!AQ37,"")</f>
        <v/>
      </c>
    </row>
    <row r="55" spans="1:43" ht="13.5" x14ac:dyDescent="0.25">
      <c r="A55" s="425" t="str">
        <f>IF(COUNTBLANK(Supplementary!$C38:$D38)&lt;2,Supplementary!B38,"")</f>
        <v/>
      </c>
      <c r="B55" s="426" t="str">
        <f>IF(COUNTBLANK(Supplementary!$C38:$D38)&lt;2,'Team Data'!A$2,"")</f>
        <v/>
      </c>
      <c r="C55" s="426" t="str">
        <f>IF(COUNTBLANK(Supplementary!$C38:$D38)&lt;2,'Team Data'!C23,"")</f>
        <v/>
      </c>
      <c r="D55" s="426"/>
      <c r="E55" s="426" t="str">
        <f>IF(COUNTBLANK(Supplementary!$C38:$D38)&lt;2,TRIM(PROPER(Supplementary!C38)),"")</f>
        <v/>
      </c>
      <c r="F55" s="426" t="str">
        <f>IF(COUNTBLANK(Supplementary!$C38:$D38)&lt;2,TRIM(PROPER(Supplementary!D38)),"")</f>
        <v/>
      </c>
      <c r="G55" s="425" t="str">
        <f>IF(COUNTBLANK(Supplementary!$C38:$D38)&lt;2,Supplementary!H38,"")</f>
        <v/>
      </c>
      <c r="H55" s="425" t="str">
        <f>IF(COUNTBLANK(Supplementary!$C38:$D38)&lt;2,Supplementary!I38,"")</f>
        <v/>
      </c>
      <c r="I55" s="425" t="str">
        <f>IF(COUNTBLANK(Supplementary!$C38:$D38)&lt;2,Supplementary!K38,"")</f>
        <v/>
      </c>
      <c r="J55" s="425" t="str">
        <f>IF(COUNTBLANK(Supplementary!$C38:$D38)&lt;2,UPPER(Supplementary!F38),"")</f>
        <v/>
      </c>
      <c r="K55" s="425" t="str">
        <f>IF(COUNTBLANK(Supplementary!$C38:$D38)&lt;2,UPPER(Supplementary!G38),"")</f>
        <v/>
      </c>
      <c r="L55" s="425" t="str">
        <f>""</f>
        <v/>
      </c>
      <c r="M55" s="425" t="str">
        <f>IF(COUNTBLANK(Supplementary!$C38:$D38)&lt;2,IF(COUNTBLANK(Supplementary!$C38:$D38)&lt;2,IF(Supplementary!M38="X","X","")),"")</f>
        <v/>
      </c>
      <c r="N55" s="425" t="str">
        <f>IF(COUNTBLANK(Supplementary!$C38:$D38)&lt;2,IF(COUNTBLANK(Supplementary!$C38:$D38)&lt;2,IF(Supplementary!M38="N","N","")),"")</f>
        <v/>
      </c>
      <c r="O55" s="427" t="str">
        <f>IF(COUNTBLANK(Supplementary!$C38:$D38)&lt;2,IF(Supplementary!E38=0,0,Supplementary!E38),"")</f>
        <v/>
      </c>
      <c r="P55" s="426" t="str">
        <f>IF(COUNTBLANK(Supplementary!C38)=0,INT(Supplementary!AF38),"")</f>
        <v/>
      </c>
      <c r="Q55" s="425" t="str">
        <f>IF(COUNTBLANK(Supplementary!C38)=1,"",IF(P55&lt;14,"J","S"))</f>
        <v/>
      </c>
      <c r="R55" s="425" t="str">
        <f>IF(Supplementary!C38="","",IF(M55="X","K",IF(N55="N","PKEF","TRUE")))</f>
        <v/>
      </c>
      <c r="S55" s="425" t="str">
        <f>IF(LEFT(Supplementary!N38,1)="Y","TRUE","")</f>
        <v/>
      </c>
      <c r="T55" s="425" t="str">
        <f>IF(LEFT(Supplementary!O38,1)="Y","TRUE","")</f>
        <v/>
      </c>
      <c r="U55" s="425" t="str">
        <f>IF(LEFT(Supplementary!P38,1)="Y","TRUE","")</f>
        <v/>
      </c>
      <c r="V55" s="425" t="str">
        <f>IF(LEFT(Supplementary!Q38,1)="Y","TRUE","")</f>
        <v/>
      </c>
      <c r="W55" s="425" t="str">
        <f>IF(LEFT(Supplementary!R38,1)="Y","TRUE","")</f>
        <v/>
      </c>
      <c r="X55" s="425" t="str">
        <f>IF(Supplementary!T38="Open","TRUE","")</f>
        <v/>
      </c>
      <c r="Y55" s="425" t="str">
        <f>IF(Supplementary!T38="Sporter","TRUE","")</f>
        <v/>
      </c>
      <c r="Z55" s="425" t="str">
        <f>IF(COUNTBLANK(X55:Y55)=1,TRIM(PROPER(Supplementary!V38)),"")</f>
        <v/>
      </c>
      <c r="AA55" s="425" t="str">
        <f>IF(LEFT(Supplementary!S38,1)="Y","TRUE","")</f>
        <v/>
      </c>
      <c r="AB55" s="425" t="str">
        <f>IF(LEFT(Supplementary!X38,1)="Y","TRUE","")</f>
        <v/>
      </c>
      <c r="AC55" s="425" t="str">
        <f>IF(LEFT(Supplementary!W38,1)="Y","TRUE","")</f>
        <v/>
      </c>
      <c r="AD55" s="425" t="str">
        <f>IF(Supplementary!Y38="A","TRUE","")</f>
        <v/>
      </c>
      <c r="AE55" s="425" t="str">
        <f>IF(Supplementary!Y38="B","TRUE","")</f>
        <v/>
      </c>
      <c r="AF55" s="425" t="str">
        <f>IF(Supplementary!Z38="A","TRUE","")</f>
        <v/>
      </c>
      <c r="AG55" s="425" t="str">
        <f>IF(Supplementary!Z38="B","TRUE","")</f>
        <v/>
      </c>
      <c r="AH55" s="425" t="str">
        <f>IF(Supplementary!Z38="X","TRUE","")</f>
        <v/>
      </c>
      <c r="AI55" s="425" t="str">
        <f>IF(LEN(Supplementary!N38)&gt;1,Supplementary!N38,"")</f>
        <v/>
      </c>
      <c r="AJ55" s="425" t="str">
        <f>IF(LEN(Supplementary!O38)&gt;1,Supplementary!O38,"")</f>
        <v/>
      </c>
      <c r="AK55" s="425" t="str">
        <f>IF(LEN(Supplementary!P38)&gt;1,Supplementary!P38,"")</f>
        <v/>
      </c>
      <c r="AL55" s="425" t="str">
        <f>IF(LEN(Supplementary!Q38)&gt;1,Supplementary!Q38,"")</f>
        <v/>
      </c>
      <c r="AM55" s="425" t="str">
        <f>IF(LEN(Supplementary!R38)&gt;1,Supplementary!R38,"")</f>
        <v/>
      </c>
      <c r="AN55" s="425" t="str">
        <f>IF(LEN(Supplementary!S38)&gt;1,Supplementary!S38,"")</f>
        <v/>
      </c>
      <c r="AO55" s="425" t="str">
        <f>IF(LEN(Supplementary!U38)&gt;1,Supplementary!U38,"")</f>
        <v/>
      </c>
      <c r="AP55" s="425" t="str">
        <f>IF(LEN(Supplementary!W38)&gt;1,Supplementary!W38,"")</f>
        <v/>
      </c>
      <c r="AQ55" s="425" t="str">
        <f>IF(COUNTBLANK(Supplementary!$C38:$D38)&lt;2,Supplementary!AQ38,"")</f>
        <v/>
      </c>
    </row>
    <row r="56" spans="1:43" ht="13.5" x14ac:dyDescent="0.25">
      <c r="A56" s="425" t="str">
        <f>IF(COUNTBLANK(Supplementary!$C39:$D39)&lt;2,Supplementary!B39,"")</f>
        <v/>
      </c>
      <c r="B56" s="426" t="str">
        <f>IF(COUNTBLANK(Supplementary!$C39:$D39)&lt;2,'Team Data'!A$2,"")</f>
        <v/>
      </c>
      <c r="C56" s="426" t="str">
        <f>IF(COUNTBLANK(Supplementary!$C39:$D39)&lt;2,'Team Data'!C24,"")</f>
        <v/>
      </c>
      <c r="D56" s="426"/>
      <c r="E56" s="426" t="str">
        <f>IF(COUNTBLANK(Supplementary!$C39:$D39)&lt;2,TRIM(PROPER(Supplementary!C39)),"")</f>
        <v/>
      </c>
      <c r="F56" s="426" t="str">
        <f>IF(COUNTBLANK(Supplementary!$C39:$D39)&lt;2,TRIM(PROPER(Supplementary!D39)),"")</f>
        <v/>
      </c>
      <c r="G56" s="425" t="str">
        <f>IF(COUNTBLANK(Supplementary!$C39:$D39)&lt;2,Supplementary!H39,"")</f>
        <v/>
      </c>
      <c r="H56" s="425" t="str">
        <f>IF(COUNTBLANK(Supplementary!$C39:$D39)&lt;2,Supplementary!I39,"")</f>
        <v/>
      </c>
      <c r="I56" s="425" t="str">
        <f>IF(COUNTBLANK(Supplementary!$C39:$D39)&lt;2,Supplementary!K39,"")</f>
        <v/>
      </c>
      <c r="J56" s="425" t="str">
        <f>IF(COUNTBLANK(Supplementary!$C39:$D39)&lt;2,UPPER(Supplementary!F39),"")</f>
        <v/>
      </c>
      <c r="K56" s="425" t="str">
        <f>IF(COUNTBLANK(Supplementary!$C39:$D39)&lt;2,UPPER(Supplementary!G39),"")</f>
        <v/>
      </c>
      <c r="L56" s="425" t="str">
        <f>""</f>
        <v/>
      </c>
      <c r="M56" s="425" t="str">
        <f>IF(COUNTBLANK(Supplementary!$C39:$D39)&lt;2,IF(COUNTBLANK(Supplementary!$C39:$D39)&lt;2,IF(Supplementary!M39="X","X","")),"")</f>
        <v/>
      </c>
      <c r="N56" s="425" t="str">
        <f>IF(COUNTBLANK(Supplementary!$C39:$D39)&lt;2,IF(COUNTBLANK(Supplementary!$C39:$D39)&lt;2,IF(Supplementary!M39="N","N","")),"")</f>
        <v/>
      </c>
      <c r="O56" s="427" t="str">
        <f>IF(COUNTBLANK(Supplementary!$C39:$D39)&lt;2,IF(Supplementary!E39=0,0,Supplementary!E39),"")</f>
        <v/>
      </c>
      <c r="P56" s="426" t="str">
        <f>IF(COUNTBLANK(Supplementary!C39)=0,INT(Supplementary!AF39),"")</f>
        <v/>
      </c>
      <c r="Q56" s="425" t="str">
        <f>IF(COUNTBLANK(Supplementary!C39)=1,"",IF(P56&lt;14,"J","S"))</f>
        <v/>
      </c>
      <c r="R56" s="425" t="str">
        <f>IF(Supplementary!C39="","",IF(M56="X","K",IF(N56="N","PKEF","TRUE")))</f>
        <v/>
      </c>
      <c r="S56" s="425" t="str">
        <f>IF(LEFT(Supplementary!N39,1)="Y","TRUE","")</f>
        <v/>
      </c>
      <c r="T56" s="425" t="str">
        <f>IF(LEFT(Supplementary!O39,1)="Y","TRUE","")</f>
        <v/>
      </c>
      <c r="U56" s="425" t="str">
        <f>IF(LEFT(Supplementary!P39,1)="Y","TRUE","")</f>
        <v/>
      </c>
      <c r="V56" s="425" t="str">
        <f>IF(LEFT(Supplementary!Q39,1)="Y","TRUE","")</f>
        <v/>
      </c>
      <c r="W56" s="425" t="str">
        <f>IF(LEFT(Supplementary!R39,1)="Y","TRUE","")</f>
        <v/>
      </c>
      <c r="X56" s="425" t="str">
        <f>IF(Supplementary!T39="Open","TRUE","")</f>
        <v/>
      </c>
      <c r="Y56" s="425" t="str">
        <f>IF(Supplementary!T39="Sporter","TRUE","")</f>
        <v/>
      </c>
      <c r="Z56" s="425" t="str">
        <f>IF(COUNTBLANK(X56:Y56)=1,TRIM(PROPER(Supplementary!V39)),"")</f>
        <v/>
      </c>
      <c r="AA56" s="425" t="str">
        <f>IF(LEFT(Supplementary!S39,1)="Y","TRUE","")</f>
        <v/>
      </c>
      <c r="AB56" s="425" t="str">
        <f>IF(LEFT(Supplementary!X39,1)="Y","TRUE","")</f>
        <v/>
      </c>
      <c r="AC56" s="425" t="str">
        <f>IF(LEFT(Supplementary!W39,1)="Y","TRUE","")</f>
        <v/>
      </c>
      <c r="AD56" s="425" t="str">
        <f>IF(Supplementary!Y39="A","TRUE","")</f>
        <v/>
      </c>
      <c r="AE56" s="425" t="str">
        <f>IF(Supplementary!Y39="B","TRUE","")</f>
        <v/>
      </c>
      <c r="AF56" s="425" t="str">
        <f>IF(Supplementary!Z39="A","TRUE","")</f>
        <v/>
      </c>
      <c r="AG56" s="425" t="str">
        <f>IF(Supplementary!Z39="B","TRUE","")</f>
        <v/>
      </c>
      <c r="AH56" s="425" t="str">
        <f>IF(Supplementary!Z39="X","TRUE","")</f>
        <v/>
      </c>
      <c r="AI56" s="425" t="str">
        <f>IF(LEN(Supplementary!N39)&gt;1,Supplementary!N39,"")</f>
        <v/>
      </c>
      <c r="AJ56" s="425" t="str">
        <f>IF(LEN(Supplementary!O39)&gt;1,Supplementary!O39,"")</f>
        <v/>
      </c>
      <c r="AK56" s="425" t="str">
        <f>IF(LEN(Supplementary!P39)&gt;1,Supplementary!P39,"")</f>
        <v/>
      </c>
      <c r="AL56" s="425" t="str">
        <f>IF(LEN(Supplementary!Q39)&gt;1,Supplementary!Q39,"")</f>
        <v/>
      </c>
      <c r="AM56" s="425" t="str">
        <f>IF(LEN(Supplementary!R39)&gt;1,Supplementary!R39,"")</f>
        <v/>
      </c>
      <c r="AN56" s="425" t="str">
        <f>IF(LEN(Supplementary!S39)&gt;1,Supplementary!S39,"")</f>
        <v/>
      </c>
      <c r="AO56" s="425" t="str">
        <f>IF(LEN(Supplementary!U39)&gt;1,Supplementary!U39,"")</f>
        <v/>
      </c>
      <c r="AP56" s="425" t="str">
        <f>IF(LEN(Supplementary!W39)&gt;1,Supplementary!W39,"")</f>
        <v/>
      </c>
      <c r="AQ56" s="425" t="str">
        <f>IF(COUNTBLANK(Supplementary!$C39:$D39)&lt;2,Supplementary!AQ39,"")</f>
        <v/>
      </c>
    </row>
    <row r="57" spans="1:43" ht="13.5" x14ac:dyDescent="0.25">
      <c r="A57" s="425" t="str">
        <f>IF(COUNTBLANK(Supplementary!$C40:$D40)&lt;2,Supplementary!B40,"")</f>
        <v/>
      </c>
      <c r="B57" s="426" t="str">
        <f>IF(COUNTBLANK(Supplementary!$C40:$D40)&lt;2,'Team Data'!A$2,"")</f>
        <v/>
      </c>
      <c r="C57" s="426" t="str">
        <f>IF(COUNTBLANK(Supplementary!$C40:$D40)&lt;2,'Team Data'!C25,"")</f>
        <v/>
      </c>
      <c r="D57" s="426"/>
      <c r="E57" s="426" t="str">
        <f>IF(COUNTBLANK(Supplementary!$C40:$D40)&lt;2,TRIM(PROPER(Supplementary!C40)),"")</f>
        <v/>
      </c>
      <c r="F57" s="426" t="str">
        <f>IF(COUNTBLANK(Supplementary!$C40:$D40)&lt;2,TRIM(PROPER(Supplementary!D40)),"")</f>
        <v/>
      </c>
      <c r="G57" s="425" t="str">
        <f>IF(COUNTBLANK(Supplementary!$C40:$D40)&lt;2,Supplementary!H40,"")</f>
        <v/>
      </c>
      <c r="H57" s="425" t="str">
        <f>IF(COUNTBLANK(Supplementary!$C40:$D40)&lt;2,Supplementary!I40,"")</f>
        <v/>
      </c>
      <c r="I57" s="425" t="str">
        <f>IF(COUNTBLANK(Supplementary!$C40:$D40)&lt;2,Supplementary!K40,"")</f>
        <v/>
      </c>
      <c r="J57" s="425" t="str">
        <f>IF(COUNTBLANK(Supplementary!$C40:$D40)&lt;2,UPPER(Supplementary!F40),"")</f>
        <v/>
      </c>
      <c r="K57" s="425" t="str">
        <f>IF(COUNTBLANK(Supplementary!$C40:$D40)&lt;2,UPPER(Supplementary!G40),"")</f>
        <v/>
      </c>
      <c r="L57" s="425" t="str">
        <f>""</f>
        <v/>
      </c>
      <c r="M57" s="425" t="str">
        <f>IF(COUNTBLANK(Supplementary!$C40:$D40)&lt;2,IF(COUNTBLANK(Supplementary!$C40:$D40)&lt;2,IF(Supplementary!M40="X","X","")),"")</f>
        <v/>
      </c>
      <c r="N57" s="425" t="str">
        <f>IF(COUNTBLANK(Supplementary!$C40:$D40)&lt;2,IF(COUNTBLANK(Supplementary!$C40:$D40)&lt;2,IF(Supplementary!M40="N","N","")),"")</f>
        <v/>
      </c>
      <c r="O57" s="427" t="str">
        <f>IF(COUNTBLANK(Supplementary!$C40:$D40)&lt;2,IF(Supplementary!E40=0,0,Supplementary!E40),"")</f>
        <v/>
      </c>
      <c r="P57" s="426" t="str">
        <f>IF(COUNTBLANK(Supplementary!C40)=0,INT(Supplementary!AF40),"")</f>
        <v/>
      </c>
      <c r="Q57" s="425" t="str">
        <f>IF(COUNTBLANK(Supplementary!C40)=1,"",IF(P57&lt;14,"J","S"))</f>
        <v/>
      </c>
      <c r="R57" s="425" t="str">
        <f>IF(Supplementary!C40="","",IF(M57="X","K",IF(N57="N","PKEF","TRUE")))</f>
        <v/>
      </c>
      <c r="S57" s="425" t="str">
        <f>IF(LEFT(Supplementary!N40,1)="Y","TRUE","")</f>
        <v/>
      </c>
      <c r="T57" s="425" t="str">
        <f>IF(LEFT(Supplementary!O40,1)="Y","TRUE","")</f>
        <v/>
      </c>
      <c r="U57" s="425" t="str">
        <f>IF(LEFT(Supplementary!P40,1)="Y","TRUE","")</f>
        <v/>
      </c>
      <c r="V57" s="425" t="str">
        <f>IF(LEFT(Supplementary!Q40,1)="Y","TRUE","")</f>
        <v/>
      </c>
      <c r="W57" s="425" t="str">
        <f>IF(LEFT(Supplementary!R40,1)="Y","TRUE","")</f>
        <v/>
      </c>
      <c r="X57" s="425" t="str">
        <f>IF(Supplementary!T40="Open","TRUE","")</f>
        <v/>
      </c>
      <c r="Y57" s="425" t="str">
        <f>IF(Supplementary!T40="Sporter","TRUE","")</f>
        <v/>
      </c>
      <c r="Z57" s="425" t="str">
        <f>IF(COUNTBLANK(X57:Y57)=1,TRIM(PROPER(Supplementary!V40)),"")</f>
        <v/>
      </c>
      <c r="AA57" s="425" t="str">
        <f>IF(LEFT(Supplementary!S40,1)="Y","TRUE","")</f>
        <v/>
      </c>
      <c r="AB57" s="425" t="str">
        <f>IF(LEFT(Supplementary!X40,1)="Y","TRUE","")</f>
        <v/>
      </c>
      <c r="AC57" s="425" t="str">
        <f>IF(LEFT(Supplementary!W40,1)="Y","TRUE","")</f>
        <v/>
      </c>
      <c r="AD57" s="425" t="str">
        <f>IF(Supplementary!Y40="A","TRUE","")</f>
        <v/>
      </c>
      <c r="AE57" s="425" t="str">
        <f>IF(Supplementary!Y40="B","TRUE","")</f>
        <v/>
      </c>
      <c r="AF57" s="425" t="str">
        <f>IF(Supplementary!Z40="A","TRUE","")</f>
        <v/>
      </c>
      <c r="AG57" s="425" t="str">
        <f>IF(Supplementary!Z40="B","TRUE","")</f>
        <v/>
      </c>
      <c r="AH57" s="425" t="str">
        <f>IF(Supplementary!Z40="X","TRUE","")</f>
        <v/>
      </c>
      <c r="AI57" s="425" t="str">
        <f>IF(LEN(Supplementary!N40)&gt;1,Supplementary!N40,"")</f>
        <v/>
      </c>
      <c r="AJ57" s="425" t="str">
        <f>IF(LEN(Supplementary!O40)&gt;1,Supplementary!O40,"")</f>
        <v/>
      </c>
      <c r="AK57" s="425" t="str">
        <f>IF(LEN(Supplementary!P40)&gt;1,Supplementary!P40,"")</f>
        <v/>
      </c>
      <c r="AL57" s="425" t="str">
        <f>IF(LEN(Supplementary!Q40)&gt;1,Supplementary!Q40,"")</f>
        <v/>
      </c>
      <c r="AM57" s="425" t="str">
        <f>IF(LEN(Supplementary!R40)&gt;1,Supplementary!R40,"")</f>
        <v/>
      </c>
      <c r="AN57" s="425" t="str">
        <f>IF(LEN(Supplementary!S40)&gt;1,Supplementary!S40,"")</f>
        <v/>
      </c>
      <c r="AO57" s="425" t="str">
        <f>IF(LEN(Supplementary!U40)&gt;1,Supplementary!U40,"")</f>
        <v/>
      </c>
      <c r="AP57" s="425" t="str">
        <f>IF(LEN(Supplementary!W40)&gt;1,Supplementary!W40,"")</f>
        <v/>
      </c>
      <c r="AQ57" s="425" t="str">
        <f>IF(COUNTBLANK(Supplementary!$C40:$D40)&lt;2,Supplementary!AQ40,"")</f>
        <v/>
      </c>
    </row>
    <row r="58" spans="1:43" ht="13.5" x14ac:dyDescent="0.25">
      <c r="A58" s="425" t="str">
        <f>IF(COUNTBLANK(Supplementary!$C41:$D41)&lt;2,Supplementary!B41,"")</f>
        <v/>
      </c>
      <c r="B58" s="426" t="str">
        <f>IF(COUNTBLANK(Supplementary!$C41:$D41)&lt;2,'Team Data'!A$2,"")</f>
        <v/>
      </c>
      <c r="C58" s="426" t="str">
        <f>IF(COUNTBLANK(Supplementary!$C41:$D41)&lt;2,'Team Data'!C26,"")</f>
        <v/>
      </c>
      <c r="D58" s="426"/>
      <c r="E58" s="426" t="str">
        <f>IF(COUNTBLANK(Supplementary!$C41:$D41)&lt;2,TRIM(PROPER(Supplementary!C41)),"")</f>
        <v/>
      </c>
      <c r="F58" s="426" t="str">
        <f>IF(COUNTBLANK(Supplementary!$C41:$D41)&lt;2,TRIM(PROPER(Supplementary!D41)),"")</f>
        <v/>
      </c>
      <c r="G58" s="425" t="str">
        <f>IF(COUNTBLANK(Supplementary!$C41:$D41)&lt;2,Supplementary!H41,"")</f>
        <v/>
      </c>
      <c r="H58" s="425" t="str">
        <f>IF(COUNTBLANK(Supplementary!$C41:$D41)&lt;2,Supplementary!I41,"")</f>
        <v/>
      </c>
      <c r="I58" s="425" t="str">
        <f>IF(COUNTBLANK(Supplementary!$C41:$D41)&lt;2,Supplementary!K41,"")</f>
        <v/>
      </c>
      <c r="J58" s="425" t="str">
        <f>IF(COUNTBLANK(Supplementary!$C41:$D41)&lt;2,UPPER(Supplementary!F41),"")</f>
        <v/>
      </c>
      <c r="K58" s="425" t="str">
        <f>IF(COUNTBLANK(Supplementary!$C41:$D41)&lt;2,UPPER(Supplementary!G41),"")</f>
        <v/>
      </c>
      <c r="L58" s="425" t="str">
        <f>""</f>
        <v/>
      </c>
      <c r="M58" s="425" t="str">
        <f>IF(COUNTBLANK(Supplementary!$C41:$D41)&lt;2,IF(COUNTBLANK(Supplementary!$C41:$D41)&lt;2,IF(Supplementary!M41="X","X","")),"")</f>
        <v/>
      </c>
      <c r="N58" s="425" t="str">
        <f>IF(COUNTBLANK(Supplementary!$C41:$D41)&lt;2,IF(COUNTBLANK(Supplementary!$C41:$D41)&lt;2,IF(Supplementary!M41="N","N","")),"")</f>
        <v/>
      </c>
      <c r="O58" s="427" t="str">
        <f>IF(COUNTBLANK(Supplementary!$C41:$D41)&lt;2,IF(Supplementary!E41=0,0,Supplementary!E41),"")</f>
        <v/>
      </c>
      <c r="P58" s="426" t="str">
        <f>IF(COUNTBLANK(Supplementary!C41)=0,INT(Supplementary!AF41),"")</f>
        <v/>
      </c>
      <c r="Q58" s="425" t="str">
        <f>IF(COUNTBLANK(Supplementary!C41)=1,"",IF(P58&lt;14,"J","S"))</f>
        <v/>
      </c>
      <c r="R58" s="425" t="str">
        <f>IF(Supplementary!C41="","",IF(M58="X","K",IF(N58="N","PKEF","TRUE")))</f>
        <v/>
      </c>
      <c r="S58" s="425" t="str">
        <f>IF(LEFT(Supplementary!N41,1)="Y","TRUE","")</f>
        <v/>
      </c>
      <c r="T58" s="425" t="str">
        <f>IF(LEFT(Supplementary!O41,1)="Y","TRUE","")</f>
        <v/>
      </c>
      <c r="U58" s="425" t="str">
        <f>IF(LEFT(Supplementary!P41,1)="Y","TRUE","")</f>
        <v/>
      </c>
      <c r="V58" s="425" t="str">
        <f>IF(LEFT(Supplementary!Q41,1)="Y","TRUE","")</f>
        <v/>
      </c>
      <c r="W58" s="425" t="str">
        <f>IF(LEFT(Supplementary!R41,1)="Y","TRUE","")</f>
        <v/>
      </c>
      <c r="X58" s="425" t="str">
        <f>IF(Supplementary!T41="Open","TRUE","")</f>
        <v/>
      </c>
      <c r="Y58" s="425" t="str">
        <f>IF(Supplementary!T41="Sporter","TRUE","")</f>
        <v/>
      </c>
      <c r="Z58" s="425" t="str">
        <f>IF(COUNTBLANK(X58:Y58)=1,TRIM(PROPER(Supplementary!V41)),"")</f>
        <v/>
      </c>
      <c r="AA58" s="425" t="str">
        <f>IF(LEFT(Supplementary!S41,1)="Y","TRUE","")</f>
        <v/>
      </c>
      <c r="AB58" s="425" t="str">
        <f>IF(LEFT(Supplementary!X41,1)="Y","TRUE","")</f>
        <v/>
      </c>
      <c r="AC58" s="425" t="str">
        <f>IF(LEFT(Supplementary!W41,1)="Y","TRUE","")</f>
        <v/>
      </c>
      <c r="AD58" s="425" t="str">
        <f>IF(Supplementary!Y41="A","TRUE","")</f>
        <v/>
      </c>
      <c r="AE58" s="425" t="str">
        <f>IF(Supplementary!Y41="B","TRUE","")</f>
        <v/>
      </c>
      <c r="AF58" s="425" t="str">
        <f>IF(Supplementary!Z41="A","TRUE","")</f>
        <v/>
      </c>
      <c r="AG58" s="425" t="str">
        <f>IF(Supplementary!Z41="B","TRUE","")</f>
        <v/>
      </c>
      <c r="AH58" s="425" t="str">
        <f>IF(Supplementary!Z41="X","TRUE","")</f>
        <v/>
      </c>
      <c r="AI58" s="425" t="str">
        <f>IF(LEN(Supplementary!N41)&gt;1,Supplementary!N41,"")</f>
        <v/>
      </c>
      <c r="AJ58" s="425" t="str">
        <f>IF(LEN(Supplementary!O41)&gt;1,Supplementary!O41,"")</f>
        <v/>
      </c>
      <c r="AK58" s="425" t="str">
        <f>IF(LEN(Supplementary!P41)&gt;1,Supplementary!P41,"")</f>
        <v/>
      </c>
      <c r="AL58" s="425" t="str">
        <f>IF(LEN(Supplementary!Q41)&gt;1,Supplementary!Q41,"")</f>
        <v/>
      </c>
      <c r="AM58" s="425" t="str">
        <f>IF(LEN(Supplementary!R41)&gt;1,Supplementary!R41,"")</f>
        <v/>
      </c>
      <c r="AN58" s="425" t="str">
        <f>IF(LEN(Supplementary!S41)&gt;1,Supplementary!S41,"")</f>
        <v/>
      </c>
      <c r="AO58" s="425" t="str">
        <f>IF(LEN(Supplementary!U41)&gt;1,Supplementary!U41,"")</f>
        <v/>
      </c>
      <c r="AP58" s="425" t="str">
        <f>IF(LEN(Supplementary!W41)&gt;1,Supplementary!W41,"")</f>
        <v/>
      </c>
      <c r="AQ58" s="425" t="str">
        <f>IF(COUNTBLANK(Supplementary!$C41:$D41)&lt;2,Supplementary!AQ41,"")</f>
        <v/>
      </c>
    </row>
    <row r="59" spans="1:43" ht="13.5" x14ac:dyDescent="0.25">
      <c r="A59" s="425" t="str">
        <f>IF(COUNTBLANK(Supplementary!$C42:$D42)&lt;2,Supplementary!B42,"")</f>
        <v/>
      </c>
      <c r="B59" s="426" t="str">
        <f>IF(COUNTBLANK(Supplementary!$C42:$D42)&lt;2,'Team Data'!A$2,"")</f>
        <v/>
      </c>
      <c r="C59" s="426" t="str">
        <f>IF(COUNTBLANK(Supplementary!$C42:$D42)&lt;2,'Team Data'!C27,"")</f>
        <v/>
      </c>
      <c r="D59" s="426"/>
      <c r="E59" s="426" t="str">
        <f>IF(COUNTBLANK(Supplementary!$C42:$D42)&lt;2,TRIM(PROPER(Supplementary!C42)),"")</f>
        <v/>
      </c>
      <c r="F59" s="426" t="str">
        <f>IF(COUNTBLANK(Supplementary!$C42:$D42)&lt;2,TRIM(PROPER(Supplementary!D42)),"")</f>
        <v/>
      </c>
      <c r="G59" s="425" t="str">
        <f>IF(COUNTBLANK(Supplementary!$C42:$D42)&lt;2,Supplementary!H42,"")</f>
        <v/>
      </c>
      <c r="H59" s="425" t="str">
        <f>IF(COUNTBLANK(Supplementary!$C42:$D42)&lt;2,Supplementary!I42,"")</f>
        <v/>
      </c>
      <c r="I59" s="425" t="str">
        <f>IF(COUNTBLANK(Supplementary!$C42:$D42)&lt;2,Supplementary!K42,"")</f>
        <v/>
      </c>
      <c r="J59" s="425" t="str">
        <f>IF(COUNTBLANK(Supplementary!$C42:$D42)&lt;2,UPPER(Supplementary!F42),"")</f>
        <v/>
      </c>
      <c r="K59" s="425" t="str">
        <f>IF(COUNTBLANK(Supplementary!$C42:$D42)&lt;2,UPPER(Supplementary!G42),"")</f>
        <v/>
      </c>
      <c r="L59" s="425" t="str">
        <f>""</f>
        <v/>
      </c>
      <c r="M59" s="425" t="str">
        <f>IF(COUNTBLANK(Supplementary!$C42:$D42)&lt;2,IF(COUNTBLANK(Supplementary!$C42:$D42)&lt;2,IF(Supplementary!M42="X","X","")),"")</f>
        <v/>
      </c>
      <c r="N59" s="425" t="str">
        <f>IF(COUNTBLANK(Supplementary!$C42:$D42)&lt;2,IF(COUNTBLANK(Supplementary!$C42:$D42)&lt;2,IF(Supplementary!M42="N","N","")),"")</f>
        <v/>
      </c>
      <c r="O59" s="427" t="str">
        <f>IF(COUNTBLANK(Supplementary!$C42:$D42)&lt;2,IF(Supplementary!E42=0,0,Supplementary!E42),"")</f>
        <v/>
      </c>
      <c r="P59" s="426" t="str">
        <f>IF(COUNTBLANK(Supplementary!C42)=0,INT(Supplementary!AF42),"")</f>
        <v/>
      </c>
      <c r="Q59" s="425" t="str">
        <f>IF(COUNTBLANK(Supplementary!C42)=1,"",IF(P59&lt;14,"J","S"))</f>
        <v/>
      </c>
      <c r="R59" s="425" t="str">
        <f>IF(Supplementary!C42="","",IF(M59="X","K",IF(N59="N","PKEF","TRUE")))</f>
        <v/>
      </c>
      <c r="S59" s="425" t="str">
        <f>IF(LEFT(Supplementary!N42,1)="Y","TRUE","")</f>
        <v/>
      </c>
      <c r="T59" s="425" t="str">
        <f>IF(LEFT(Supplementary!O42,1)="Y","TRUE","")</f>
        <v/>
      </c>
      <c r="U59" s="425" t="str">
        <f>IF(LEFT(Supplementary!P42,1)="Y","TRUE","")</f>
        <v/>
      </c>
      <c r="V59" s="425" t="str">
        <f>IF(LEFT(Supplementary!Q42,1)="Y","TRUE","")</f>
        <v/>
      </c>
      <c r="W59" s="425" t="str">
        <f>IF(LEFT(Supplementary!R42,1)="Y","TRUE","")</f>
        <v/>
      </c>
      <c r="X59" s="425" t="str">
        <f>IF(Supplementary!T42="Open","TRUE","")</f>
        <v/>
      </c>
      <c r="Y59" s="425" t="str">
        <f>IF(Supplementary!T42="Sporter","TRUE","")</f>
        <v/>
      </c>
      <c r="Z59" s="425" t="str">
        <f>IF(COUNTBLANK(X59:Y59)=1,TRIM(PROPER(Supplementary!V42)),"")</f>
        <v/>
      </c>
      <c r="AA59" s="425" t="str">
        <f>IF(LEFT(Supplementary!S42,1)="Y","TRUE","")</f>
        <v/>
      </c>
      <c r="AB59" s="425" t="str">
        <f>IF(LEFT(Supplementary!X42,1)="Y","TRUE","")</f>
        <v/>
      </c>
      <c r="AC59" s="425" t="str">
        <f>IF(LEFT(Supplementary!W42,1)="Y","TRUE","")</f>
        <v/>
      </c>
      <c r="AD59" s="425" t="str">
        <f>IF(Supplementary!Y42="A","TRUE","")</f>
        <v/>
      </c>
      <c r="AE59" s="425" t="str">
        <f>IF(Supplementary!Y42="B","TRUE","")</f>
        <v/>
      </c>
      <c r="AF59" s="425" t="str">
        <f>IF(Supplementary!Z42="A","TRUE","")</f>
        <v/>
      </c>
      <c r="AG59" s="425" t="str">
        <f>IF(Supplementary!Z42="B","TRUE","")</f>
        <v/>
      </c>
      <c r="AH59" s="425" t="str">
        <f>IF(Supplementary!Z42="X","TRUE","")</f>
        <v/>
      </c>
      <c r="AI59" s="425" t="str">
        <f>IF(LEN(Supplementary!N42)&gt;1,Supplementary!N42,"")</f>
        <v/>
      </c>
      <c r="AJ59" s="425" t="str">
        <f>IF(LEN(Supplementary!O42)&gt;1,Supplementary!O42,"")</f>
        <v/>
      </c>
      <c r="AK59" s="425" t="str">
        <f>IF(LEN(Supplementary!P42)&gt;1,Supplementary!P42,"")</f>
        <v/>
      </c>
      <c r="AL59" s="425" t="str">
        <f>IF(LEN(Supplementary!Q42)&gt;1,Supplementary!Q42,"")</f>
        <v/>
      </c>
      <c r="AM59" s="425" t="str">
        <f>IF(LEN(Supplementary!R42)&gt;1,Supplementary!R42,"")</f>
        <v/>
      </c>
      <c r="AN59" s="425" t="str">
        <f>IF(LEN(Supplementary!S42)&gt;1,Supplementary!S42,"")</f>
        <v/>
      </c>
      <c r="AO59" s="425" t="str">
        <f>IF(LEN(Supplementary!U42)&gt;1,Supplementary!U42,"")</f>
        <v/>
      </c>
      <c r="AP59" s="425" t="str">
        <f>IF(LEN(Supplementary!W42)&gt;1,Supplementary!W42,"")</f>
        <v/>
      </c>
      <c r="AQ59" s="425" t="str">
        <f>IF(COUNTBLANK(Supplementary!$C42:$D42)&lt;2,Supplementary!AQ42,"")</f>
        <v/>
      </c>
    </row>
    <row r="60" spans="1:43" ht="13.5" x14ac:dyDescent="0.25">
      <c r="A60" s="425" t="str">
        <f>IF(COUNTBLANK(Supplementary!$C43:$D43)&lt;2,Supplementary!B43,"")</f>
        <v/>
      </c>
      <c r="B60" s="426" t="str">
        <f>IF(COUNTBLANK(Supplementary!$C43:$D43)&lt;2,'Team Data'!A$2,"")</f>
        <v/>
      </c>
      <c r="C60" s="426" t="str">
        <f>IF(COUNTBLANK(Supplementary!$C43:$D43)&lt;2,'Team Data'!C28,"")</f>
        <v/>
      </c>
      <c r="D60" s="426"/>
      <c r="E60" s="426" t="str">
        <f>IF(COUNTBLANK(Supplementary!$C43:$D43)&lt;2,TRIM(PROPER(Supplementary!C43)),"")</f>
        <v/>
      </c>
      <c r="F60" s="426" t="str">
        <f>IF(COUNTBLANK(Supplementary!$C43:$D43)&lt;2,TRIM(PROPER(Supplementary!D43)),"")</f>
        <v/>
      </c>
      <c r="G60" s="425" t="str">
        <f>IF(COUNTBLANK(Supplementary!$C43:$D43)&lt;2,Supplementary!H43,"")</f>
        <v/>
      </c>
      <c r="H60" s="425" t="str">
        <f>IF(COUNTBLANK(Supplementary!$C43:$D43)&lt;2,Supplementary!I43,"")</f>
        <v/>
      </c>
      <c r="I60" s="425" t="str">
        <f>IF(COUNTBLANK(Supplementary!$C43:$D43)&lt;2,Supplementary!K43,"")</f>
        <v/>
      </c>
      <c r="J60" s="425" t="str">
        <f>IF(COUNTBLANK(Supplementary!$C43:$D43)&lt;2,UPPER(Supplementary!F43),"")</f>
        <v/>
      </c>
      <c r="K60" s="425" t="str">
        <f>IF(COUNTBLANK(Supplementary!$C43:$D43)&lt;2,UPPER(Supplementary!G43),"")</f>
        <v/>
      </c>
      <c r="L60" s="425" t="str">
        <f>""</f>
        <v/>
      </c>
      <c r="M60" s="425" t="str">
        <f>IF(COUNTBLANK(Supplementary!$C43:$D43)&lt;2,IF(COUNTBLANK(Supplementary!$C43:$D43)&lt;2,IF(Supplementary!M43="X","X","")),"")</f>
        <v/>
      </c>
      <c r="N60" s="425" t="str">
        <f>IF(COUNTBLANK(Supplementary!$C43:$D43)&lt;2,IF(COUNTBLANK(Supplementary!$C43:$D43)&lt;2,IF(Supplementary!M43="N","N","")),"")</f>
        <v/>
      </c>
      <c r="O60" s="427" t="str">
        <f>IF(COUNTBLANK(Supplementary!$C43:$D43)&lt;2,IF(Supplementary!E43=0,0,Supplementary!E43),"")</f>
        <v/>
      </c>
      <c r="P60" s="426" t="str">
        <f>IF(COUNTBLANK(Supplementary!C43)=0,INT(Supplementary!AF43),"")</f>
        <v/>
      </c>
      <c r="Q60" s="425" t="str">
        <f>IF(COUNTBLANK(Supplementary!C43)=1,"",IF(P60&lt;14,"J","S"))</f>
        <v/>
      </c>
      <c r="R60" s="425" t="str">
        <f>IF(Supplementary!C43="","",IF(M60="X","K",IF(N60="N","PKEF","TRUE")))</f>
        <v/>
      </c>
      <c r="S60" s="425" t="str">
        <f>IF(LEFT(Supplementary!N43,1)="Y","TRUE","")</f>
        <v/>
      </c>
      <c r="T60" s="425" t="str">
        <f>IF(LEFT(Supplementary!O43,1)="Y","TRUE","")</f>
        <v/>
      </c>
      <c r="U60" s="425" t="str">
        <f>IF(LEFT(Supplementary!P43,1)="Y","TRUE","")</f>
        <v/>
      </c>
      <c r="V60" s="425" t="str">
        <f>IF(LEFT(Supplementary!Q43,1)="Y","TRUE","")</f>
        <v/>
      </c>
      <c r="W60" s="425" t="str">
        <f>IF(LEFT(Supplementary!R43,1)="Y","TRUE","")</f>
        <v/>
      </c>
      <c r="X60" s="425" t="str">
        <f>IF(Supplementary!T43="Open","TRUE","")</f>
        <v/>
      </c>
      <c r="Y60" s="425" t="str">
        <f>IF(Supplementary!T43="Sporter","TRUE","")</f>
        <v/>
      </c>
      <c r="Z60" s="425" t="str">
        <f>IF(COUNTBLANK(X60:Y60)=1,TRIM(PROPER(Supplementary!V43)),"")</f>
        <v/>
      </c>
      <c r="AA60" s="425" t="str">
        <f>IF(LEFT(Supplementary!S43,1)="Y","TRUE","")</f>
        <v/>
      </c>
      <c r="AB60" s="425" t="str">
        <f>IF(LEFT(Supplementary!X43,1)="Y","TRUE","")</f>
        <v/>
      </c>
      <c r="AC60" s="425" t="str">
        <f>IF(LEFT(Supplementary!W43,1)="Y","TRUE","")</f>
        <v/>
      </c>
      <c r="AD60" s="425" t="str">
        <f>IF(Supplementary!Y43="A","TRUE","")</f>
        <v/>
      </c>
      <c r="AE60" s="425" t="str">
        <f>IF(Supplementary!Y43="B","TRUE","")</f>
        <v/>
      </c>
      <c r="AF60" s="425" t="str">
        <f>IF(Supplementary!Z43="A","TRUE","")</f>
        <v/>
      </c>
      <c r="AG60" s="425" t="str">
        <f>IF(Supplementary!Z43="B","TRUE","")</f>
        <v/>
      </c>
      <c r="AH60" s="425" t="str">
        <f>IF(Supplementary!Z43="X","TRUE","")</f>
        <v/>
      </c>
      <c r="AI60" s="425" t="str">
        <f>IF(LEN(Supplementary!N43)&gt;1,Supplementary!N43,"")</f>
        <v/>
      </c>
      <c r="AJ60" s="425" t="str">
        <f>IF(LEN(Supplementary!O43)&gt;1,Supplementary!O43,"")</f>
        <v/>
      </c>
      <c r="AK60" s="425" t="str">
        <f>IF(LEN(Supplementary!P43)&gt;1,Supplementary!P43,"")</f>
        <v/>
      </c>
      <c r="AL60" s="425" t="str">
        <f>IF(LEN(Supplementary!Q43)&gt;1,Supplementary!Q43,"")</f>
        <v/>
      </c>
      <c r="AM60" s="425" t="str">
        <f>IF(LEN(Supplementary!R43)&gt;1,Supplementary!R43,"")</f>
        <v/>
      </c>
      <c r="AN60" s="425" t="str">
        <f>IF(LEN(Supplementary!S43)&gt;1,Supplementary!S43,"")</f>
        <v/>
      </c>
      <c r="AO60" s="425" t="str">
        <f>IF(LEN(Supplementary!U43)&gt;1,Supplementary!U43,"")</f>
        <v/>
      </c>
      <c r="AP60" s="425" t="str">
        <f>IF(LEN(Supplementary!W43)&gt;1,Supplementary!W43,"")</f>
        <v/>
      </c>
      <c r="AQ60" s="425" t="str">
        <f>IF(COUNTBLANK(Supplementary!$C43:$D43)&lt;2,Supplementary!AQ43,"")</f>
        <v/>
      </c>
    </row>
    <row r="61" spans="1:43" x14ac:dyDescent="0.2">
      <c r="A61" s="418"/>
    </row>
    <row r="62" spans="1:43" x14ac:dyDescent="0.2">
      <c r="A62" s="418"/>
    </row>
    <row r="63" spans="1:43" x14ac:dyDescent="0.2">
      <c r="A63" s="418"/>
    </row>
    <row r="64" spans="1:43" x14ac:dyDescent="0.2">
      <c r="A64" s="418"/>
    </row>
    <row r="65" spans="1:1" x14ac:dyDescent="0.2">
      <c r="A65" s="418"/>
    </row>
    <row r="66" spans="1:1" x14ac:dyDescent="0.2">
      <c r="A66" s="418"/>
    </row>
    <row r="67" spans="1:1" x14ac:dyDescent="0.2">
      <c r="A67" s="418"/>
    </row>
    <row r="68" spans="1:1" x14ac:dyDescent="0.2">
      <c r="A68" s="418"/>
    </row>
    <row r="69" spans="1:1" x14ac:dyDescent="0.2">
      <c r="A69" s="418"/>
    </row>
    <row r="70" spans="1:1" x14ac:dyDescent="0.2">
      <c r="A70" s="418"/>
    </row>
    <row r="71" spans="1:1" x14ac:dyDescent="0.2">
      <c r="A71" s="418"/>
    </row>
    <row r="72" spans="1:1" x14ac:dyDescent="0.2">
      <c r="A72" s="418"/>
    </row>
    <row r="73" spans="1:1" x14ac:dyDescent="0.2">
      <c r="A73" s="418"/>
    </row>
    <row r="74" spans="1:1" x14ac:dyDescent="0.2">
      <c r="A74" s="418"/>
    </row>
    <row r="75" spans="1:1" x14ac:dyDescent="0.2">
      <c r="A75" s="418"/>
    </row>
    <row r="76" spans="1:1" x14ac:dyDescent="0.2">
      <c r="A76" s="418"/>
    </row>
    <row r="77" spans="1:1" x14ac:dyDescent="0.2">
      <c r="A77" s="418"/>
    </row>
    <row r="78" spans="1:1" x14ac:dyDescent="0.2">
      <c r="A78" s="418"/>
    </row>
    <row r="79" spans="1:1" x14ac:dyDescent="0.2">
      <c r="A79" s="418"/>
    </row>
    <row r="80" spans="1:1" x14ac:dyDescent="0.2">
      <c r="A80" s="418"/>
    </row>
    <row r="81" spans="1:1" x14ac:dyDescent="0.2">
      <c r="A81" s="418"/>
    </row>
    <row r="82" spans="1:1" x14ac:dyDescent="0.2">
      <c r="A82" s="418"/>
    </row>
    <row r="83" spans="1:1" x14ac:dyDescent="0.2">
      <c r="A83" s="418"/>
    </row>
    <row r="84" spans="1:1" x14ac:dyDescent="0.2">
      <c r="A84" s="418"/>
    </row>
    <row r="85" spans="1:1" x14ac:dyDescent="0.2">
      <c r="A85" s="418"/>
    </row>
    <row r="86" spans="1:1" x14ac:dyDescent="0.2">
      <c r="A86" s="418"/>
    </row>
    <row r="87" spans="1:1" x14ac:dyDescent="0.2">
      <c r="A87" s="418"/>
    </row>
    <row r="88" spans="1:1" x14ac:dyDescent="0.2">
      <c r="A88" s="418"/>
    </row>
    <row r="89" spans="1:1" x14ac:dyDescent="0.2">
      <c r="A89" s="418"/>
    </row>
    <row r="90" spans="1:1" x14ac:dyDescent="0.2">
      <c r="A90" s="418"/>
    </row>
    <row r="91" spans="1:1" x14ac:dyDescent="0.2">
      <c r="A91" s="418"/>
    </row>
    <row r="92" spans="1:1" x14ac:dyDescent="0.2">
      <c r="A92" s="418"/>
    </row>
    <row r="93" spans="1:1" x14ac:dyDescent="0.2">
      <c r="A93" s="418"/>
    </row>
    <row r="94" spans="1:1" x14ac:dyDescent="0.2">
      <c r="A94" s="418"/>
    </row>
    <row r="95" spans="1:1" x14ac:dyDescent="0.2">
      <c r="A95" s="418"/>
    </row>
    <row r="96" spans="1:1" x14ac:dyDescent="0.2">
      <c r="A96" s="418"/>
    </row>
    <row r="97" spans="1:1" x14ac:dyDescent="0.2">
      <c r="A97" s="418"/>
    </row>
    <row r="98" spans="1:1" x14ac:dyDescent="0.2">
      <c r="A98" s="418"/>
    </row>
    <row r="99" spans="1:1" x14ac:dyDescent="0.2">
      <c r="A99" s="418"/>
    </row>
    <row r="100" spans="1:1" x14ac:dyDescent="0.2">
      <c r="A100" s="418"/>
    </row>
    <row r="101" spans="1:1" x14ac:dyDescent="0.2">
      <c r="A101" s="418"/>
    </row>
    <row r="102" spans="1:1" x14ac:dyDescent="0.2">
      <c r="A102" s="418"/>
    </row>
    <row r="103" spans="1:1" x14ac:dyDescent="0.2">
      <c r="A103" s="418"/>
    </row>
    <row r="104" spans="1:1" x14ac:dyDescent="0.2">
      <c r="A104" s="418"/>
    </row>
    <row r="105" spans="1:1" x14ac:dyDescent="0.2">
      <c r="A105" s="418"/>
    </row>
    <row r="106" spans="1:1" x14ac:dyDescent="0.2">
      <c r="A106" s="418"/>
    </row>
    <row r="107" spans="1:1" x14ac:dyDescent="0.2">
      <c r="A107" s="418"/>
    </row>
    <row r="108" spans="1:1" x14ac:dyDescent="0.2">
      <c r="A108" s="418"/>
    </row>
    <row r="109" spans="1:1" x14ac:dyDescent="0.2">
      <c r="A109" s="418"/>
    </row>
    <row r="110" spans="1:1" x14ac:dyDescent="0.2">
      <c r="A110" s="418"/>
    </row>
    <row r="111" spans="1:1" x14ac:dyDescent="0.2">
      <c r="A111" s="418"/>
    </row>
    <row r="112" spans="1:1" x14ac:dyDescent="0.2">
      <c r="A112" s="418"/>
    </row>
    <row r="113" spans="1:1" x14ac:dyDescent="0.2">
      <c r="A113" s="418"/>
    </row>
    <row r="114" spans="1:1" x14ac:dyDescent="0.2">
      <c r="A114" s="418"/>
    </row>
    <row r="115" spans="1:1" x14ac:dyDescent="0.2">
      <c r="A115" s="418"/>
    </row>
    <row r="116" spans="1:1" x14ac:dyDescent="0.2">
      <c r="A116" s="418"/>
    </row>
    <row r="117" spans="1:1" x14ac:dyDescent="0.2">
      <c r="A117" s="418"/>
    </row>
    <row r="118" spans="1:1" x14ac:dyDescent="0.2">
      <c r="A118" s="418"/>
    </row>
    <row r="119" spans="1:1" x14ac:dyDescent="0.2">
      <c r="A119" s="418"/>
    </row>
    <row r="120" spans="1:1" x14ac:dyDescent="0.2">
      <c r="A120" s="418"/>
    </row>
    <row r="121" spans="1:1" x14ac:dyDescent="0.2">
      <c r="A121" s="418"/>
    </row>
    <row r="122" spans="1:1" x14ac:dyDescent="0.2">
      <c r="A122" s="418"/>
    </row>
    <row r="123" spans="1:1" x14ac:dyDescent="0.2">
      <c r="A123" s="418"/>
    </row>
    <row r="124" spans="1:1" x14ac:dyDescent="0.2">
      <c r="A124" s="418"/>
    </row>
    <row r="125" spans="1:1" x14ac:dyDescent="0.2">
      <c r="A125" s="418"/>
    </row>
    <row r="126" spans="1:1" x14ac:dyDescent="0.2">
      <c r="A126" s="418"/>
    </row>
    <row r="127" spans="1:1" x14ac:dyDescent="0.2">
      <c r="A127" s="418"/>
    </row>
    <row r="128" spans="1:1" x14ac:dyDescent="0.2">
      <c r="A128" s="418"/>
    </row>
  </sheetData>
  <sheetProtection password="C858" sheet="1" objects="1" scenarios="1"/>
  <phoneticPr fontId="13" type="noConversion"/>
  <conditionalFormatting sqref="AO4:AP30 R4:W30 Z4:AM30 J4:N30">
    <cfRule type="cellIs" dxfId="8" priority="8" stopIfTrue="1" operator="equal">
      <formula>TRUE</formula>
    </cfRule>
    <cfRule type="cellIs" dxfId="7" priority="9" stopIfTrue="1" operator="equal">
      <formula>FALSE</formula>
    </cfRule>
  </conditionalFormatting>
  <conditionalFormatting sqref="O5:Q30 P4:Q4">
    <cfRule type="cellIs" dxfId="6" priority="10" stopIfTrue="1" operator="equal">
      <formula>25</formula>
    </cfRule>
  </conditionalFormatting>
  <conditionalFormatting sqref="I4:I30">
    <cfRule type="cellIs" dxfId="5" priority="6" stopIfTrue="1" operator="equal">
      <formula>TRUE</formula>
    </cfRule>
    <cfRule type="cellIs" dxfId="4" priority="7" stopIfTrue="1" operator="equal">
      <formula>FALSE</formula>
    </cfRule>
  </conditionalFormatting>
  <conditionalFormatting sqref="AQ4:AQ30">
    <cfRule type="cellIs" dxfId="3" priority="4" stopIfTrue="1" operator="equal">
      <formula>TRUE</formula>
    </cfRule>
    <cfRule type="cellIs" dxfId="2" priority="5" stopIfTrue="1" operator="equal">
      <formula>FALSE</formula>
    </cfRule>
  </conditionalFormatting>
  <conditionalFormatting sqref="X4:Y30">
    <cfRule type="cellIs" dxfId="1" priority="2" stopIfTrue="1" operator="equal">
      <formula>TRUE</formula>
    </cfRule>
    <cfRule type="cellIs" dxfId="0" priority="3" stopIfTrue="1" operator="equal">
      <formula>FALSE</formula>
    </cfRule>
  </conditionalFormatting>
  <pageMargins left="0.74803149606299213" right="0.74803149606299213" top="0.98425196850393704" bottom="0.98425196850393704" header="0.51181102362204722" footer="0.51181102362204722"/>
  <pageSetup paperSize="9" scale="82" fitToWidth="2" fitToHeight="2" orientation="landscape" r:id="rId1"/>
  <headerFooter alignWithMargins="0"/>
  <rowBreaks count="1" manualBreakCount="1">
    <brk id="31" max="4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5"/>
  <sheetViews>
    <sheetView workbookViewId="0">
      <selection activeCell="C10" sqref="C10"/>
    </sheetView>
  </sheetViews>
  <sheetFormatPr defaultRowHeight="12.75" x14ac:dyDescent="0.2"/>
  <cols>
    <col min="2" max="2" width="11.42578125" customWidth="1"/>
    <col min="3" max="3" width="23.140625" customWidth="1"/>
    <col min="4" max="4" width="9.85546875" customWidth="1"/>
    <col min="6" max="6" width="11.5703125" style="1" customWidth="1"/>
  </cols>
  <sheetData>
    <row r="1" spans="1:7" ht="17.25" customHeight="1" x14ac:dyDescent="0.2">
      <c r="A1" s="320" t="s">
        <v>319</v>
      </c>
      <c r="B1" s="9"/>
      <c r="C1" s="9"/>
      <c r="D1" s="9"/>
      <c r="E1" s="9"/>
      <c r="F1" s="128"/>
    </row>
    <row r="2" spans="1:7" ht="13.5" x14ac:dyDescent="0.25">
      <c r="A2" s="318" t="s">
        <v>156</v>
      </c>
      <c r="B2" s="319" t="s">
        <v>166</v>
      </c>
      <c r="C2" s="318" t="s">
        <v>155</v>
      </c>
      <c r="D2" s="9" t="s">
        <v>301</v>
      </c>
      <c r="E2" s="318" t="s">
        <v>37</v>
      </c>
      <c r="F2" s="319" t="s">
        <v>302</v>
      </c>
    </row>
    <row r="3" spans="1:7" x14ac:dyDescent="0.2">
      <c r="A3" s="128" t="str">
        <f>IF(D3="","",'Team Data'!A$2)</f>
        <v/>
      </c>
      <c r="B3" s="128" t="str">
        <f>IF(D3="","",Entrants!D$10)</f>
        <v/>
      </c>
      <c r="C3" s="9" t="str">
        <f>IF(D3="","",Entrants!$J$10)</f>
        <v/>
      </c>
      <c r="D3" s="9" t="str">
        <f>'Cost Calc'!E40</f>
        <v/>
      </c>
      <c r="E3" s="9" t="str">
        <f>'Cost Calc'!F40</f>
        <v/>
      </c>
      <c r="F3" s="128" t="str">
        <f>'Cost Calc'!G40</f>
        <v xml:space="preserve"> </v>
      </c>
      <c r="G3" s="9"/>
    </row>
    <row r="4" spans="1:7" x14ac:dyDescent="0.2">
      <c r="A4" s="128" t="str">
        <f>IF(D4="","",'Team Data'!A$2)</f>
        <v/>
      </c>
      <c r="B4" s="128" t="str">
        <f>IF(D4="","",Entrants!D$10)</f>
        <v/>
      </c>
      <c r="C4" s="9" t="str">
        <f>IF(D4="","",Entrants!$J$10)</f>
        <v/>
      </c>
      <c r="D4" s="9" t="str">
        <f>'Cost Calc'!E41</f>
        <v/>
      </c>
      <c r="E4" s="9" t="str">
        <f>'Cost Calc'!F41</f>
        <v/>
      </c>
      <c r="F4" s="128" t="str">
        <f>'Cost Calc'!G41</f>
        <v xml:space="preserve"> </v>
      </c>
      <c r="G4" s="9"/>
    </row>
    <row r="5" spans="1:7" x14ac:dyDescent="0.2">
      <c r="A5" s="128" t="str">
        <f>IF(D5="","",'Team Data'!A$2)</f>
        <v/>
      </c>
      <c r="B5" s="128" t="str">
        <f>IF(D5="","",Entrants!D$10)</f>
        <v/>
      </c>
      <c r="C5" s="9" t="str">
        <f>IF(D5="","",Entrants!$J$10)</f>
        <v/>
      </c>
      <c r="D5" s="9" t="str">
        <f>'Cost Calc'!E42</f>
        <v/>
      </c>
      <c r="E5" s="9" t="str">
        <f>'Cost Calc'!F42</f>
        <v/>
      </c>
      <c r="F5" s="128" t="str">
        <f>'Cost Calc'!G42</f>
        <v xml:space="preserve"> </v>
      </c>
      <c r="G5" s="9"/>
    </row>
    <row r="6" spans="1:7" x14ac:dyDescent="0.2">
      <c r="A6" s="128" t="str">
        <f>IF(D6="","",'Team Data'!A$2)</f>
        <v/>
      </c>
      <c r="B6" s="128" t="str">
        <f>IF(D6="","",Entrants!D$10)</f>
        <v/>
      </c>
      <c r="C6" s="9" t="str">
        <f>IF(D6="","",Entrants!$J$10)</f>
        <v/>
      </c>
      <c r="D6" s="9" t="str">
        <f>'Cost Calc'!E43</f>
        <v/>
      </c>
      <c r="E6" s="9" t="str">
        <f>'Cost Calc'!F43</f>
        <v/>
      </c>
      <c r="F6" s="128" t="str">
        <f>'Cost Calc'!G43</f>
        <v xml:space="preserve"> </v>
      </c>
      <c r="G6" s="9"/>
    </row>
    <row r="7" spans="1:7" x14ac:dyDescent="0.2">
      <c r="A7" s="128" t="str">
        <f>IF(D7="","",'Team Data'!A$2)</f>
        <v/>
      </c>
      <c r="B7" s="128" t="str">
        <f>IF(D7="","",Entrants!D$10)</f>
        <v/>
      </c>
      <c r="C7" s="9" t="str">
        <f>IF(D7="","",Entrants!$J$10)</f>
        <v/>
      </c>
      <c r="D7" s="9" t="str">
        <f>'Cost Calc'!E44</f>
        <v/>
      </c>
      <c r="E7" s="9" t="str">
        <f>'Cost Calc'!F44</f>
        <v/>
      </c>
      <c r="F7" s="128" t="str">
        <f>'Cost Calc'!G44</f>
        <v xml:space="preserve"> </v>
      </c>
      <c r="G7" s="9"/>
    </row>
    <row r="8" spans="1:7" x14ac:dyDescent="0.2">
      <c r="A8" s="128" t="str">
        <f>IF(D8="","",'Team Data'!A$2)</f>
        <v/>
      </c>
      <c r="B8" s="128" t="str">
        <f>IF(D8="","",Entrants!D$10)</f>
        <v/>
      </c>
      <c r="C8" s="9" t="str">
        <f>IF(D8="","",Entrants!$J$10)</f>
        <v/>
      </c>
      <c r="D8" s="9" t="str">
        <f>'Cost Calc'!E45</f>
        <v/>
      </c>
      <c r="E8" s="9" t="str">
        <f>'Cost Calc'!F45</f>
        <v/>
      </c>
      <c r="F8" s="128" t="str">
        <f>'Cost Calc'!G45</f>
        <v xml:space="preserve"> </v>
      </c>
      <c r="G8" s="9"/>
    </row>
    <row r="9" spans="1:7" x14ac:dyDescent="0.2">
      <c r="A9" s="128" t="str">
        <f>IF(D9="","",'Team Data'!A$2)</f>
        <v/>
      </c>
      <c r="B9" s="128" t="str">
        <f>IF(D9="","",Entrants!D$10)</f>
        <v/>
      </c>
      <c r="C9" s="9" t="str">
        <f>IF(D9="","",Entrants!$J$10)</f>
        <v/>
      </c>
      <c r="D9" s="9" t="str">
        <f>'Cost Calc'!E46</f>
        <v/>
      </c>
      <c r="E9" s="9" t="str">
        <f>'Cost Calc'!F46</f>
        <v/>
      </c>
      <c r="F9" s="128" t="str">
        <f>'Cost Calc'!G46</f>
        <v xml:space="preserve"> </v>
      </c>
      <c r="G9" s="9"/>
    </row>
    <row r="10" spans="1:7" x14ac:dyDescent="0.2">
      <c r="A10" s="128" t="str">
        <f>IF(D10="","",'Team Data'!A$2)</f>
        <v/>
      </c>
      <c r="B10" s="128" t="str">
        <f>IF(D10="","",Entrants!D$10)</f>
        <v/>
      </c>
      <c r="C10" s="9" t="str">
        <f>IF(D10="","",Entrants!$J$10)</f>
        <v/>
      </c>
      <c r="D10" s="9" t="str">
        <f>'Cost Calc'!E47</f>
        <v/>
      </c>
      <c r="E10" s="9" t="str">
        <f>'Cost Calc'!F47</f>
        <v/>
      </c>
      <c r="F10" s="128" t="str">
        <f>'Cost Calc'!G47</f>
        <v xml:space="preserve"> </v>
      </c>
      <c r="G10" s="9"/>
    </row>
    <row r="11" spans="1:7" x14ac:dyDescent="0.2">
      <c r="A11" s="128" t="str">
        <f>IF(D11="","",'Team Data'!A$2)</f>
        <v/>
      </c>
      <c r="B11" s="128" t="str">
        <f>IF(D11="","",Entrants!D$10)</f>
        <v/>
      </c>
      <c r="C11" s="9" t="str">
        <f>IF(D11="","",Entrants!$J$10)</f>
        <v/>
      </c>
      <c r="D11" s="9" t="str">
        <f>'Cost Calc'!E48</f>
        <v/>
      </c>
      <c r="E11" s="9" t="str">
        <f>'Cost Calc'!F48</f>
        <v/>
      </c>
      <c r="F11" s="128" t="str">
        <f>'Cost Calc'!G48</f>
        <v xml:space="preserve"> </v>
      </c>
      <c r="G11" s="9"/>
    </row>
    <row r="12" spans="1:7" x14ac:dyDescent="0.2">
      <c r="A12" s="128" t="str">
        <f>IF(D12="","",'Team Data'!A$2)</f>
        <v/>
      </c>
      <c r="B12" s="128" t="str">
        <f>IF(D12="","",Entrants!D$10)</f>
        <v/>
      </c>
      <c r="C12" s="9" t="str">
        <f>IF(D12="","",Entrants!$J$10)</f>
        <v/>
      </c>
      <c r="D12" s="9" t="str">
        <f>'Cost Calc'!E49</f>
        <v/>
      </c>
      <c r="E12" s="9" t="str">
        <f>'Cost Calc'!F49</f>
        <v/>
      </c>
      <c r="F12" s="128" t="str">
        <f>'Cost Calc'!G49</f>
        <v xml:space="preserve"> </v>
      </c>
      <c r="G12" s="9"/>
    </row>
    <row r="13" spans="1:7" x14ac:dyDescent="0.2">
      <c r="A13" s="9"/>
      <c r="B13" s="9"/>
      <c r="C13" s="9"/>
      <c r="D13" s="9" t="str">
        <f>'Cost Calc'!E50</f>
        <v/>
      </c>
      <c r="E13" s="9" t="str">
        <f>'Cost Calc'!F50</f>
        <v/>
      </c>
      <c r="F13" s="128" t="str">
        <f>'Cost Calc'!G50</f>
        <v xml:space="preserve"> </v>
      </c>
      <c r="G13" s="9"/>
    </row>
    <row r="14" spans="1:7" x14ac:dyDescent="0.2">
      <c r="A14" s="9"/>
      <c r="B14" s="9"/>
      <c r="C14" s="9"/>
      <c r="D14" s="9" t="str">
        <f>'Cost Calc'!E51</f>
        <v/>
      </c>
      <c r="E14" s="9" t="str">
        <f>'Cost Calc'!F51</f>
        <v/>
      </c>
      <c r="F14" s="128" t="str">
        <f>'Cost Calc'!G51</f>
        <v xml:space="preserve"> </v>
      </c>
      <c r="G14" s="9"/>
    </row>
    <row r="15" spans="1:7" x14ac:dyDescent="0.2">
      <c r="A15" s="9"/>
      <c r="B15" s="9"/>
      <c r="C15" s="9"/>
      <c r="D15" s="9"/>
      <c r="E15" s="9"/>
      <c r="F15" s="128"/>
      <c r="G15" s="9"/>
    </row>
  </sheetData>
  <sheetProtection password="C858" sheet="1" objects="1" scenarios="1"/>
  <phoneticPr fontId="1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33"/>
  <sheetViews>
    <sheetView workbookViewId="0">
      <selection activeCell="B3" sqref="B3"/>
    </sheetView>
  </sheetViews>
  <sheetFormatPr defaultRowHeight="12.75" x14ac:dyDescent="0.2"/>
  <cols>
    <col min="1" max="1" width="9.42578125" customWidth="1"/>
    <col min="2" max="2" width="159.85546875" customWidth="1"/>
    <col min="3" max="3" width="3.28515625" style="276" customWidth="1"/>
  </cols>
  <sheetData>
    <row r="2" spans="1:3" s="262" customFormat="1" ht="21" customHeight="1" x14ac:dyDescent="0.2">
      <c r="A2" s="262" t="s">
        <v>391</v>
      </c>
      <c r="C2" s="275">
        <f>IF(COUNTBLANK(B3:B29)=27,0,27-(COUNTBLANK(B3:B29)))</f>
        <v>0</v>
      </c>
    </row>
    <row r="3" spans="1:3" x14ac:dyDescent="0.2">
      <c r="B3" t="str">
        <f>IF(OR(COUNTBLANK(Entrants!Z17)=0,COUNTBLANK(Entrants!BH17)=0),CONCATENATE(Entrants!A17," ",Entrants!B17," ",Entrants!C17," ",Entrants!Z17,"; ",Entrants!BH17," ",),"")</f>
        <v/>
      </c>
    </row>
    <row r="4" spans="1:3" x14ac:dyDescent="0.2">
      <c r="B4" t="str">
        <f>IF(OR(COUNTBLANK(Entrants!Z18)=0,COUNTBLANK(Entrants!BH18)=0),CONCATENATE("Row ",Entrants!A18," ",Entrants!B18," ",Entrants!C18," ",Entrants!Z18,"; ",Entrants!BH18," ",),"")</f>
        <v/>
      </c>
    </row>
    <row r="5" spans="1:3" x14ac:dyDescent="0.2">
      <c r="B5" t="str">
        <f>IF(OR(COUNTBLANK(Entrants!Z19)=0,COUNTBLANK(Entrants!BH19)=0),CONCATENATE("Row ",Entrants!A19," ",Entrants!B19," ",Entrants!C19," ",Entrants!Z19,"; ",Entrants!BH19," ",),"")</f>
        <v/>
      </c>
    </row>
    <row r="6" spans="1:3" x14ac:dyDescent="0.2">
      <c r="B6" t="str">
        <f>IF(OR(COUNTBLANK(Entrants!Z20)=0,COUNTBLANK(Entrants!BH20)=0),CONCATENATE("Row ",Entrants!A20," ",Entrants!B20," ",Entrants!C20," ",Entrants!Z20,"; ",Entrants!BH20," ",),"")</f>
        <v/>
      </c>
    </row>
    <row r="7" spans="1:3" x14ac:dyDescent="0.2">
      <c r="B7" t="str">
        <f>IF(OR(COUNTBLANK(Entrants!Z21)=0,COUNTBLANK(Entrants!BH21)=0),CONCATENATE("Row ",Entrants!A21," ",Entrants!B21," ",Entrants!C21," ",Entrants!Z21,"; ",Entrants!BH21," ",),"")</f>
        <v/>
      </c>
    </row>
    <row r="8" spans="1:3" x14ac:dyDescent="0.2">
      <c r="B8" t="str">
        <f>IF(OR(COUNTBLANK(Entrants!Z22)=0,COUNTBLANK(Entrants!BH22)=0),CONCATENATE("Row ",Entrants!A22," ",Entrants!B22," ",Entrants!C22," ",Entrants!Z22,"; ",Entrants!BH22," ",),"")</f>
        <v/>
      </c>
    </row>
    <row r="9" spans="1:3" x14ac:dyDescent="0.2">
      <c r="B9" t="str">
        <f>IF(OR(COUNTBLANK(Entrants!Z23)=0,COUNTBLANK(Entrants!BH23)=0),CONCATENATE("Row ",Entrants!A23," ",Entrants!B23," ",Entrants!C23," ",Entrants!Z23,"; ",Entrants!BH23," ",),"")</f>
        <v/>
      </c>
    </row>
    <row r="10" spans="1:3" x14ac:dyDescent="0.2">
      <c r="B10" t="str">
        <f>IF(OR(COUNTBLANK(Entrants!Z24)=0,COUNTBLANK(Entrants!BH24)=0),CONCATENATE("Row ",Entrants!A24," ",Entrants!B24," ",Entrants!C24," ",Entrants!Z24,"; ",Entrants!BH24," ",),"")</f>
        <v/>
      </c>
    </row>
    <row r="11" spans="1:3" x14ac:dyDescent="0.2">
      <c r="B11" t="str">
        <f>IF(OR(COUNTBLANK(Entrants!Z25)=0,COUNTBLANK(Entrants!BH25)=0),CONCATENATE("Row ",Entrants!A25," ",Entrants!B25," ",Entrants!C25," ",Entrants!Z25,"; ",Entrants!BH25," ",),"")</f>
        <v/>
      </c>
    </row>
    <row r="12" spans="1:3" x14ac:dyDescent="0.2">
      <c r="B12" t="str">
        <f>IF(OR(COUNTBLANK(Entrants!Z26)=0,COUNTBLANK(Entrants!BH26)=0),CONCATENATE("Row ",Entrants!A26," ",Entrants!B26," ",Entrants!C26," ",Entrants!Z26,"; ",Entrants!BH26," ",),"")</f>
        <v/>
      </c>
    </row>
    <row r="13" spans="1:3" x14ac:dyDescent="0.2">
      <c r="B13" t="str">
        <f>IF(OR(COUNTBLANK(Entrants!Z27)=0,COUNTBLANK(Entrants!BH27)=0),CONCATENATE("Row ",Entrants!A27," ",Entrants!B27," ",Entrants!C27," ",Entrants!Z27,"; ",Entrants!BH27," ",),"")</f>
        <v/>
      </c>
    </row>
    <row r="14" spans="1:3" x14ac:dyDescent="0.2">
      <c r="B14" t="str">
        <f>IF(OR(COUNTBLANK(Entrants!Z28)=0,COUNTBLANK(Entrants!BH28)=0),CONCATENATE("Row ",Entrants!A28," ",Entrants!B28," ",Entrants!C28," ",Entrants!Z28,"; ",Entrants!BH28," ",),"")</f>
        <v/>
      </c>
    </row>
    <row r="15" spans="1:3" x14ac:dyDescent="0.2">
      <c r="B15" t="str">
        <f>IF(OR(COUNTBLANK(Entrants!Z29)=0,COUNTBLANK(Entrants!BH29)=0),CONCATENATE("Row ",Entrants!A29," ",Entrants!B29," ",Entrants!C29," ",Entrants!Z29,"; ",Entrants!BH29," ",),"")</f>
        <v/>
      </c>
    </row>
    <row r="16" spans="1:3" x14ac:dyDescent="0.2">
      <c r="B16" t="str">
        <f>IF(OR(COUNTBLANK(Entrants!Z30)=0,COUNTBLANK(Entrants!BH30)=0),CONCATENATE("Row ",Entrants!A30," ",Entrants!B30," ",Entrants!C30," ",Entrants!Z30,"; ",Entrants!BH30," ",),"")</f>
        <v/>
      </c>
    </row>
    <row r="17" spans="1:3" x14ac:dyDescent="0.2">
      <c r="B17" t="str">
        <f>IF(OR(COUNTBLANK(Entrants!Z31)=0,COUNTBLANK(Entrants!BH31)=0),CONCATENATE("Row ",Entrants!A31," ",Entrants!B31," ",Entrants!C31," ",Entrants!Z31,"; ",Entrants!BH31," ",),"")</f>
        <v/>
      </c>
    </row>
    <row r="18" spans="1:3" x14ac:dyDescent="0.2">
      <c r="B18" t="str">
        <f>IF(OR(COUNTBLANK(Entrants!Z32)=0,COUNTBLANK(Entrants!BH32)=0),CONCATENATE("Row ",Entrants!A32," ",Entrants!B32," ",Entrants!C32," ",Entrants!Z32,"; ",Entrants!BH32," ",),"")</f>
        <v/>
      </c>
    </row>
    <row r="19" spans="1:3" x14ac:dyDescent="0.2">
      <c r="B19" t="str">
        <f>IF(OR(COUNTBLANK(Entrants!Z33)=0,COUNTBLANK(Entrants!BH33)=0),CONCATENATE("Row ",Entrants!A33," ",Entrants!B33," ",Entrants!C33," ",Entrants!Z33,"; ",Entrants!BH33," ",),"")</f>
        <v/>
      </c>
    </row>
    <row r="20" spans="1:3" x14ac:dyDescent="0.2">
      <c r="B20" t="str">
        <f>IF(OR(COUNTBLANK(Entrants!Z34)=0,COUNTBLANK(Entrants!BH34)=0),CONCATENATE("Row ",Entrants!A34," ",Entrants!B34," ",Entrants!C34," ",Entrants!Z34,"; ",Entrants!BH34," ",),"")</f>
        <v/>
      </c>
    </row>
    <row r="21" spans="1:3" x14ac:dyDescent="0.2">
      <c r="B21" t="str">
        <f>IF(OR(COUNTBLANK(Entrants!Z35)=0,COUNTBLANK(Entrants!BH35)=0),CONCATENATE("Row ",Entrants!A35," ",Entrants!B35," ",Entrants!C35," ",Entrants!Z35,"; ",Entrants!BH35," ",),"")</f>
        <v/>
      </c>
    </row>
    <row r="22" spans="1:3" x14ac:dyDescent="0.2">
      <c r="B22" t="str">
        <f>IF(OR(COUNTBLANK(Entrants!Z36)=0,COUNTBLANK(Entrants!BH36)=0),CONCATENATE("Row ",Entrants!A36," ",Entrants!B36," ",Entrants!C36," ",Entrants!Z36,"; ",Entrants!BH36," ",),"")</f>
        <v/>
      </c>
    </row>
    <row r="23" spans="1:3" x14ac:dyDescent="0.2">
      <c r="B23" t="str">
        <f>IF(OR(COUNTBLANK(Entrants!Z37)=0,COUNTBLANK(Entrants!BH37)=0),CONCATENATE("Row ",Entrants!A37," ",Entrants!B37," ",Entrants!C37," ",Entrants!Z37,"; ",Entrants!BH37," ",),"")</f>
        <v/>
      </c>
    </row>
    <row r="24" spans="1:3" x14ac:dyDescent="0.2">
      <c r="B24" t="str">
        <f>IF(OR(COUNTBLANK(Entrants!Z38)=0,COUNTBLANK(Entrants!BH38)=0),CONCATENATE("Row ",Entrants!A38," ",Entrants!B38," ",Entrants!C38," ",Entrants!Z38,"; ",Entrants!BH38," ",),"")</f>
        <v/>
      </c>
    </row>
    <row r="25" spans="1:3" x14ac:dyDescent="0.2">
      <c r="B25" t="str">
        <f>IF(OR(COUNTBLANK(Entrants!Z39)=0,COUNTBLANK(Entrants!BH39)=0),CONCATENATE("Row ",Entrants!A39," ",Entrants!B39," ",Entrants!C39," ",Entrants!Z39,"; ",Entrants!BH39," ",),"")</f>
        <v/>
      </c>
    </row>
    <row r="26" spans="1:3" x14ac:dyDescent="0.2">
      <c r="B26" t="str">
        <f>IF(OR(COUNTBLANK(Entrants!Z40)=0,COUNTBLANK(Entrants!BH40)=0),CONCATENATE("Row ",Entrants!A40," ",Entrants!B40," ",Entrants!C40," ",Entrants!Z40,"; ",Entrants!BH40," ",),"")</f>
        <v/>
      </c>
    </row>
    <row r="27" spans="1:3" x14ac:dyDescent="0.2">
      <c r="B27" t="str">
        <f>IF(OR(COUNTBLANK(Entrants!Z41)=0,COUNTBLANK(Entrants!BH41)=0),CONCATENATE("Row ",Entrants!A41," ",Entrants!B41," ",Entrants!C41," ",Entrants!Z41,"; ",Entrants!BH41," ",),"")</f>
        <v/>
      </c>
    </row>
    <row r="28" spans="1:3" x14ac:dyDescent="0.2">
      <c r="B28" t="str">
        <f>IF(OR(COUNTBLANK(Entrants!Z42)=0,COUNTBLANK(Entrants!BH42)=0),CONCATENATE("Row ",Entrants!A42," ",Entrants!B42," ",Entrants!C42," ",Entrants!Z42,"; ",Entrants!BH42," ",),"")</f>
        <v/>
      </c>
    </row>
    <row r="29" spans="1:3" x14ac:dyDescent="0.2">
      <c r="B29" t="str">
        <f>IF(OR(COUNTBLANK(Entrants!Z43)=0,COUNTBLANK(Entrants!BH43)=0),CONCATENATE("Row ",Entrants!A43," ",Entrants!B43," ",Entrants!C43," ",Entrants!Z43,"; ",Entrants!BH43," ",),"")</f>
        <v/>
      </c>
    </row>
    <row r="30" spans="1:3" x14ac:dyDescent="0.2">
      <c r="A30" s="132" t="s">
        <v>266</v>
      </c>
      <c r="C30" s="275">
        <f>IF(COUNTBLANK(B31)=1,0,Entrants!BJ45-C2)</f>
        <v>0</v>
      </c>
    </row>
    <row r="31" spans="1:3" ht="93" customHeight="1" x14ac:dyDescent="0.2">
      <c r="B31" s="261" t="str">
        <f>CONCATENATE(Entrants!Z10,"; ",Entrants!Z44)</f>
        <v xml:space="preserve">; </v>
      </c>
    </row>
    <row r="32" spans="1:3" ht="18" customHeight="1" x14ac:dyDescent="0.2">
      <c r="A32" s="262" t="s">
        <v>267</v>
      </c>
      <c r="B32" s="261"/>
      <c r="C32" s="275">
        <f>IF(COUNTBLANK(B33)=1,0,Entrants!B45)</f>
        <v>0</v>
      </c>
    </row>
    <row r="33" spans="2:2" ht="37.5" customHeight="1" x14ac:dyDescent="0.2">
      <c r="B33" s="261" t="str">
        <f>Entrants!C45</f>
        <v/>
      </c>
    </row>
  </sheetData>
  <sheetProtection password="C858" sheet="1" objects="1" scenarios="1"/>
  <pageMargins left="0.7" right="0.7"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Entrants</vt:lpstr>
      <vt:lpstr>Cost Calc</vt:lpstr>
      <vt:lpstr>Group</vt:lpstr>
      <vt:lpstr>Supplementary</vt:lpstr>
      <vt:lpstr>Team Data</vt:lpstr>
      <vt:lpstr>Entrant Data</vt:lpstr>
      <vt:lpstr>CampOnly Data</vt:lpstr>
      <vt:lpstr>Error Report</vt:lpstr>
      <vt:lpstr>LastYrList</vt:lpstr>
      <vt:lpstr>Major_Errors</vt:lpstr>
      <vt:lpstr>'CampOnly Data'!Print_Area</vt:lpstr>
      <vt:lpstr>'Cost Calc'!Print_Area</vt:lpstr>
      <vt:lpstr>'Entrant Data'!Print_Area</vt:lpstr>
      <vt:lpstr>Entrants!Print_Area</vt:lpstr>
      <vt:lpstr>'Error Report'!Print_Area</vt:lpstr>
      <vt:lpstr>Group!Print_Area</vt:lpstr>
      <vt:lpstr>Instructions!Print_Area</vt:lpstr>
      <vt:lpstr>Supplementary!Print_Area</vt:lpstr>
      <vt:lpstr>'Team Data'!Print_Area</vt:lpstr>
      <vt:lpstr>Q_Date</vt:lpstr>
      <vt:lpstr>Youngest_Entrant_Age</vt:lpstr>
      <vt:lpstr>Youngest_Entrant_DoB</vt:lpstr>
      <vt:lpstr>Youngest_FB_Age</vt:lpstr>
      <vt:lpstr>Youngest_FB_DoB</vt:lpstr>
      <vt:lpstr>Youngest_SB_Age</vt:lpstr>
      <vt:lpstr>Youngest_SB_DoB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cp:lastPrinted>2016-10-11T09:45:32Z</cp:lastPrinted>
  <dcterms:created xsi:type="dcterms:W3CDTF">2011-03-01T11:08:46Z</dcterms:created>
  <dcterms:modified xsi:type="dcterms:W3CDTF">2019-04-12T08:33:34Z</dcterms:modified>
</cp:coreProperties>
</file>