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workbookProtection workbookPassword="C858" lockStructure="1"/>
  <bookViews>
    <workbookView xWindow="150" yWindow="150" windowWidth="20220" windowHeight="11400" tabRatio="760" activeTab="1"/>
  </bookViews>
  <sheets>
    <sheet name="Instructions" sheetId="4" r:id="rId1"/>
    <sheet name="Entrants" sheetId="1" r:id="rId2"/>
    <sheet name="Cost Calc" sheetId="2" r:id="rId3"/>
    <sheet name="Group" sheetId="3" r:id="rId4"/>
    <sheet name="Supplementary" sheetId="10" r:id="rId5"/>
    <sheet name="Team Data" sheetId="5" r:id="rId6"/>
    <sheet name="Entrant Data" sheetId="6" r:id="rId7"/>
    <sheet name="CampOnly Data" sheetId="7" r:id="rId8"/>
    <sheet name="Error Report" sheetId="8" r:id="rId9"/>
    <sheet name="LastYrList" sheetId="9" state="hidden" r:id="rId10"/>
  </sheets>
  <definedNames>
    <definedName name="Major_Errors">Entrants!$BJ$45</definedName>
    <definedName name="_xlnm.Print_Area" localSheetId="7">'CampOnly Data'!$A$1:$F$15</definedName>
    <definedName name="_xlnm.Print_Area" localSheetId="2">'Cost Calc'!$E$2:$AG$52</definedName>
    <definedName name="_xlnm.Print_Area" localSheetId="6">'Entrant Data'!$A$1:$AP$60</definedName>
    <definedName name="_xlnm.Print_Area" localSheetId="1">Entrants!$B$2:$Y$43</definedName>
    <definedName name="_xlnm.Print_Area" localSheetId="8">'Error Report'!$A:$C</definedName>
    <definedName name="_xlnm.Print_Area" localSheetId="3">Group!$A$2:$I$39</definedName>
    <definedName name="_xlnm.Print_Area" localSheetId="0">Instructions!$A$1:$C$28</definedName>
    <definedName name="_xlnm.Print_Area" localSheetId="4">Supplementary!$A$1:$AA$46</definedName>
    <definedName name="_xlnm.Print_Area" localSheetId="5">'Team Data'!$A$1:$S$2</definedName>
    <definedName name="Q_Date">Entrants!$AG$5</definedName>
    <definedName name="Youngest_Entrant_Age">Entrants!$AL$6</definedName>
    <definedName name="Youngest_Entrant_DoB">Entrants!$AF$6</definedName>
    <definedName name="Youngest_FB_Age">Entrants!$AL$8</definedName>
    <definedName name="Youngest_FB_DoB">Entrants!$AF$8</definedName>
    <definedName name="Youngest_SB_Age">Entrants!$AL$7</definedName>
    <definedName name="Youngest_SB_DoB">Entrants!$AF$7</definedName>
  </definedNames>
  <calcPr calcId="145621"/>
</workbook>
</file>

<file path=xl/calcChain.xml><?xml version="1.0" encoding="utf-8"?>
<calcChain xmlns="http://schemas.openxmlformats.org/spreadsheetml/2006/main">
  <c r="AA18" i="1" l="1"/>
  <c r="AB18" i="1" s="1"/>
  <c r="AK18" i="1"/>
  <c r="AN18" i="1" s="1"/>
  <c r="AO18" i="1"/>
  <c r="AP18" i="1"/>
  <c r="AS18" i="1"/>
  <c r="AT18" i="1"/>
  <c r="AU18" i="1"/>
  <c r="AW18" i="1"/>
  <c r="AX18" i="1"/>
  <c r="BA18" i="1"/>
  <c r="BB18" i="1"/>
  <c r="BC18" i="1"/>
  <c r="BD18" i="1"/>
  <c r="AA19" i="1"/>
  <c r="AX19" i="1" s="1"/>
  <c r="AK19" i="1"/>
  <c r="AL19" i="1" s="1"/>
  <c r="AN19" i="1"/>
  <c r="AO19" i="1"/>
  <c r="AP19" i="1"/>
  <c r="AS19" i="1"/>
  <c r="AT19" i="1"/>
  <c r="AU19" i="1"/>
  <c r="AW19" i="1"/>
  <c r="AY19" i="1"/>
  <c r="BA19" i="1"/>
  <c r="BB19" i="1"/>
  <c r="BC19" i="1"/>
  <c r="BD19" i="1"/>
  <c r="AA20" i="1"/>
  <c r="AC20" i="1" s="1"/>
  <c r="AK20" i="1"/>
  <c r="AL20" i="1"/>
  <c r="AO20" i="1"/>
  <c r="AP20" i="1"/>
  <c r="AS20" i="1"/>
  <c r="AT20" i="1"/>
  <c r="AU20" i="1"/>
  <c r="AW20" i="1"/>
  <c r="BA20" i="1"/>
  <c r="BB20" i="1"/>
  <c r="BD20" i="1"/>
  <c r="BF20" i="1"/>
  <c r="AA21" i="1"/>
  <c r="AB21" i="1" s="1"/>
  <c r="AC21" i="1"/>
  <c r="AD21" i="1" s="1"/>
  <c r="AK21" i="1"/>
  <c r="AL21" i="1" s="1"/>
  <c r="AN21" i="1"/>
  <c r="AO21" i="1"/>
  <c r="AP21" i="1"/>
  <c r="AR21" i="1"/>
  <c r="AS21" i="1"/>
  <c r="AT21" i="1"/>
  <c r="AU21" i="1"/>
  <c r="AV21" i="1"/>
  <c r="AW21" i="1"/>
  <c r="AY21" i="1"/>
  <c r="BA21" i="1"/>
  <c r="BB21" i="1"/>
  <c r="BC21" i="1"/>
  <c r="BD21" i="1"/>
  <c r="BE21" i="1"/>
  <c r="BG21" i="1"/>
  <c r="AA22" i="1"/>
  <c r="AC22" i="1"/>
  <c r="AM22" i="1" s="1"/>
  <c r="AK22" i="1"/>
  <c r="AL22" i="1" s="1"/>
  <c r="AO22" i="1"/>
  <c r="AP22" i="1"/>
  <c r="AS22" i="1"/>
  <c r="AT22" i="1"/>
  <c r="AU22" i="1"/>
  <c r="AW22" i="1"/>
  <c r="AX22" i="1"/>
  <c r="AY22" i="1"/>
  <c r="BA22" i="1"/>
  <c r="BB22" i="1"/>
  <c r="BC22" i="1"/>
  <c r="BE22" i="1" s="1"/>
  <c r="BD22" i="1"/>
  <c r="BF22" i="1"/>
  <c r="BG22" i="1"/>
  <c r="AA23" i="1"/>
  <c r="AK23" i="1"/>
  <c r="AL23" i="1" s="1"/>
  <c r="AO23" i="1"/>
  <c r="AP23" i="1"/>
  <c r="AS23" i="1"/>
  <c r="AT23" i="1"/>
  <c r="AU23" i="1"/>
  <c r="AW23" i="1"/>
  <c r="AY23" i="1"/>
  <c r="BA23" i="1"/>
  <c r="BB23" i="1"/>
  <c r="BC23" i="1"/>
  <c r="BD23" i="1"/>
  <c r="BE23" i="1" s="1"/>
  <c r="BG23" i="1"/>
  <c r="AA24" i="1"/>
  <c r="AC24" i="1" s="1"/>
  <c r="AD24" i="1" s="1"/>
  <c r="AK24" i="1"/>
  <c r="AL24" i="1"/>
  <c r="AO24" i="1"/>
  <c r="AP24" i="1"/>
  <c r="AS24" i="1"/>
  <c r="AT24" i="1"/>
  <c r="AU24" i="1"/>
  <c r="AW24" i="1"/>
  <c r="AY24" i="1"/>
  <c r="BA24" i="1"/>
  <c r="BB24" i="1"/>
  <c r="BD24" i="1"/>
  <c r="BF24" i="1"/>
  <c r="BG24" i="1"/>
  <c r="AA25" i="1"/>
  <c r="AK25" i="1"/>
  <c r="AO25" i="1"/>
  <c r="AP25" i="1"/>
  <c r="AS25" i="1"/>
  <c r="AT25" i="1"/>
  <c r="AU25" i="1"/>
  <c r="AW25" i="1"/>
  <c r="AY25" i="1"/>
  <c r="BA25" i="1"/>
  <c r="BB25" i="1"/>
  <c r="BC25" i="1"/>
  <c r="BE25" i="1" s="1"/>
  <c r="BD25" i="1"/>
  <c r="BG25" i="1"/>
  <c r="AA26" i="1"/>
  <c r="AC26" i="1"/>
  <c r="AD26" i="1" s="1"/>
  <c r="AK26" i="1"/>
  <c r="AM26" i="1"/>
  <c r="AO26" i="1"/>
  <c r="AP26" i="1"/>
  <c r="AS26" i="1"/>
  <c r="AT26" i="1"/>
  <c r="AU26" i="1"/>
  <c r="AW26" i="1"/>
  <c r="AX26" i="1"/>
  <c r="BA26" i="1"/>
  <c r="BB26" i="1"/>
  <c r="BC26" i="1"/>
  <c r="BD26" i="1"/>
  <c r="BE26" i="1"/>
  <c r="BF26" i="1"/>
  <c r="BG26" i="1"/>
  <c r="AA27" i="1"/>
  <c r="AB27" i="1"/>
  <c r="AC27" i="1"/>
  <c r="AD27" i="1" s="1"/>
  <c r="AG27" i="1"/>
  <c r="AJ27" i="1"/>
  <c r="AK27" i="1"/>
  <c r="AL27" i="1" s="1"/>
  <c r="AM27" i="1"/>
  <c r="AN27" i="1"/>
  <c r="AO27" i="1"/>
  <c r="AP27" i="1"/>
  <c r="AQ27" i="1"/>
  <c r="AR27" i="1"/>
  <c r="AS27" i="1"/>
  <c r="AT27" i="1"/>
  <c r="AU27" i="1"/>
  <c r="AV27" i="1"/>
  <c r="AW27" i="1"/>
  <c r="AY27" i="1"/>
  <c r="AZ27" i="1"/>
  <c r="BA27" i="1"/>
  <c r="BB27" i="1"/>
  <c r="BC27" i="1"/>
  <c r="BD27" i="1"/>
  <c r="BE27" i="1" s="1"/>
  <c r="BG27" i="1"/>
  <c r="AA28" i="1"/>
  <c r="AK28" i="1"/>
  <c r="AL28" i="1"/>
  <c r="AO28" i="1"/>
  <c r="AP28" i="1"/>
  <c r="AS28" i="1"/>
  <c r="AT28" i="1"/>
  <c r="AU28" i="1"/>
  <c r="AW28" i="1"/>
  <c r="AY28" i="1"/>
  <c r="BA28" i="1"/>
  <c r="BB28" i="1"/>
  <c r="BD28" i="1"/>
  <c r="BF28" i="1"/>
  <c r="BG28" i="1"/>
  <c r="AA29" i="1"/>
  <c r="AC29" i="1" s="1"/>
  <c r="AK29" i="1"/>
  <c r="AL29" i="1" s="1"/>
  <c r="AO29" i="1"/>
  <c r="AP29" i="1"/>
  <c r="AS29" i="1"/>
  <c r="AT29" i="1"/>
  <c r="AU29" i="1"/>
  <c r="AV29" i="1"/>
  <c r="AW29" i="1"/>
  <c r="BA29" i="1"/>
  <c r="BB29" i="1"/>
  <c r="BD29" i="1"/>
  <c r="BG29" i="1"/>
  <c r="AA30" i="1"/>
  <c r="AC30" i="1"/>
  <c r="AM30" i="1" s="1"/>
  <c r="AK30" i="1"/>
  <c r="AO30" i="1"/>
  <c r="AP30" i="1"/>
  <c r="AS30" i="1"/>
  <c r="AT30" i="1"/>
  <c r="AU30" i="1"/>
  <c r="AW30" i="1"/>
  <c r="AX30" i="1"/>
  <c r="AY30" i="1"/>
  <c r="BA30" i="1"/>
  <c r="BB30" i="1"/>
  <c r="BC30" i="1"/>
  <c r="BD30" i="1"/>
  <c r="BE30" i="1"/>
  <c r="BF30" i="1"/>
  <c r="BG30" i="1"/>
  <c r="AA31" i="1"/>
  <c r="AC31" i="1" s="1"/>
  <c r="AB31" i="1"/>
  <c r="AK31" i="1"/>
  <c r="AO31" i="1"/>
  <c r="AP31" i="1"/>
  <c r="AS31" i="1"/>
  <c r="AT31" i="1"/>
  <c r="AU31" i="1"/>
  <c r="AV31" i="1"/>
  <c r="AW31" i="1"/>
  <c r="AY31" i="1"/>
  <c r="AZ31" i="1"/>
  <c r="BA31" i="1"/>
  <c r="BB31" i="1"/>
  <c r="BC31" i="1"/>
  <c r="BE31" i="1" s="1"/>
  <c r="BD31" i="1"/>
  <c r="BG31" i="1"/>
  <c r="AA32" i="1"/>
  <c r="AC32" i="1"/>
  <c r="AD32" i="1" s="1"/>
  <c r="AK32" i="1"/>
  <c r="AO32" i="1"/>
  <c r="AP32" i="1"/>
  <c r="AS32" i="1"/>
  <c r="AT32" i="1"/>
  <c r="AU32" i="1"/>
  <c r="AW32" i="1"/>
  <c r="BA32" i="1"/>
  <c r="BB32" i="1"/>
  <c r="BC32" i="1"/>
  <c r="BE32" i="1" s="1"/>
  <c r="BD32" i="1"/>
  <c r="BG32" i="1"/>
  <c r="AA33" i="1"/>
  <c r="AC33" i="1" s="1"/>
  <c r="AK33" i="1"/>
  <c r="AO33" i="1"/>
  <c r="AP33" i="1"/>
  <c r="AS33" i="1"/>
  <c r="AT33" i="1"/>
  <c r="AU33" i="1"/>
  <c r="AW33" i="1"/>
  <c r="BA33" i="1"/>
  <c r="BB33" i="1"/>
  <c r="BD33" i="1"/>
  <c r="BG33" i="1"/>
  <c r="AA34" i="1"/>
  <c r="AC34" i="1" s="1"/>
  <c r="AK34" i="1"/>
  <c r="AO34" i="1"/>
  <c r="AP34" i="1"/>
  <c r="AS34" i="1"/>
  <c r="AT34" i="1"/>
  <c r="AU34" i="1"/>
  <c r="AW34" i="1"/>
  <c r="AY34" i="1"/>
  <c r="BA34" i="1"/>
  <c r="BB34" i="1"/>
  <c r="BD34" i="1"/>
  <c r="BG34" i="1"/>
  <c r="AA35" i="1"/>
  <c r="AC35" i="1"/>
  <c r="AD35" i="1" s="1"/>
  <c r="AK35" i="1"/>
  <c r="AO35" i="1"/>
  <c r="AP35" i="1"/>
  <c r="AS35" i="1"/>
  <c r="AT35" i="1"/>
  <c r="AU35" i="1"/>
  <c r="AW35" i="1"/>
  <c r="AY35" i="1"/>
  <c r="BA35" i="1"/>
  <c r="BB35" i="1"/>
  <c r="BC35" i="1"/>
  <c r="BE35" i="1" s="1"/>
  <c r="BD35" i="1"/>
  <c r="BG35" i="1"/>
  <c r="AA36" i="1"/>
  <c r="AC36" i="1"/>
  <c r="AD36" i="1" s="1"/>
  <c r="AK36" i="1"/>
  <c r="AO36" i="1"/>
  <c r="AP36" i="1"/>
  <c r="AS36" i="1"/>
  <c r="AT36" i="1"/>
  <c r="AU36" i="1"/>
  <c r="AW36" i="1"/>
  <c r="BA36" i="1"/>
  <c r="BB36" i="1"/>
  <c r="BC36" i="1"/>
  <c r="BE36" i="1" s="1"/>
  <c r="BD36" i="1"/>
  <c r="BG36" i="1"/>
  <c r="AA37" i="1"/>
  <c r="AC37" i="1" s="1"/>
  <c r="AK37" i="1"/>
  <c r="AO37" i="1"/>
  <c r="AP37" i="1"/>
  <c r="AS37" i="1"/>
  <c r="AT37" i="1"/>
  <c r="AU37" i="1"/>
  <c r="AW37" i="1"/>
  <c r="BA37" i="1"/>
  <c r="BB37" i="1"/>
  <c r="BD37" i="1"/>
  <c r="BG37" i="1"/>
  <c r="AA38" i="1"/>
  <c r="AC38" i="1" s="1"/>
  <c r="AK38" i="1"/>
  <c r="AO38" i="1"/>
  <c r="AP38" i="1"/>
  <c r="AS38" i="1"/>
  <c r="AT38" i="1"/>
  <c r="AU38" i="1"/>
  <c r="AW38" i="1"/>
  <c r="AY38" i="1"/>
  <c r="BA38" i="1"/>
  <c r="BB38" i="1"/>
  <c r="BD38" i="1"/>
  <c r="BG38" i="1"/>
  <c r="AA39" i="1"/>
  <c r="AC39" i="1"/>
  <c r="AD39" i="1" s="1"/>
  <c r="AK39" i="1"/>
  <c r="AL39" i="1" s="1"/>
  <c r="AM39" i="1"/>
  <c r="AQ39" i="1" s="1"/>
  <c r="BH39" i="1" s="1"/>
  <c r="AO39" i="1"/>
  <c r="AP39" i="1"/>
  <c r="AS39" i="1"/>
  <c r="AT39" i="1"/>
  <c r="AU39" i="1"/>
  <c r="AV39" i="1"/>
  <c r="AW39" i="1"/>
  <c r="AY39" i="1"/>
  <c r="AZ39" i="1"/>
  <c r="BA39" i="1"/>
  <c r="BB39" i="1"/>
  <c r="BC39" i="1"/>
  <c r="BD39" i="1"/>
  <c r="BE39" i="1" s="1"/>
  <c r="BG39" i="1"/>
  <c r="AA40" i="1"/>
  <c r="AC40" i="1" s="1"/>
  <c r="AK40" i="1"/>
  <c r="AL40" i="1"/>
  <c r="AO40" i="1"/>
  <c r="AP40" i="1"/>
  <c r="AS40" i="1"/>
  <c r="AT40" i="1"/>
  <c r="AU40" i="1"/>
  <c r="AW40" i="1"/>
  <c r="BA40" i="1"/>
  <c r="BB40" i="1"/>
  <c r="BD40" i="1"/>
  <c r="BF40" i="1"/>
  <c r="BG40" i="1"/>
  <c r="AA41" i="1"/>
  <c r="AB41" i="1"/>
  <c r="AC41" i="1"/>
  <c r="AD41" i="1" s="1"/>
  <c r="AK41" i="1"/>
  <c r="AL41" i="1" s="1"/>
  <c r="AN41" i="1"/>
  <c r="AO41" i="1"/>
  <c r="AP41" i="1"/>
  <c r="AR41" i="1"/>
  <c r="AS41" i="1"/>
  <c r="AT41" i="1"/>
  <c r="AU41" i="1"/>
  <c r="AV41" i="1"/>
  <c r="AW41" i="1"/>
  <c r="AY41" i="1"/>
  <c r="AZ41" i="1"/>
  <c r="BA41" i="1"/>
  <c r="BB41" i="1"/>
  <c r="BC41" i="1"/>
  <c r="BD41" i="1"/>
  <c r="BE41" i="1"/>
  <c r="BG41" i="1"/>
  <c r="AA42" i="1"/>
  <c r="AC42" i="1"/>
  <c r="AG42" i="1" s="1"/>
  <c r="AK42" i="1"/>
  <c r="AL42" i="1"/>
  <c r="AO42" i="1"/>
  <c r="AP42" i="1"/>
  <c r="AS42" i="1"/>
  <c r="AT42" i="1"/>
  <c r="AU42" i="1"/>
  <c r="AW42" i="1"/>
  <c r="AX42" i="1"/>
  <c r="AY42" i="1"/>
  <c r="BA42" i="1"/>
  <c r="BB42" i="1"/>
  <c r="BC42" i="1"/>
  <c r="BE42" i="1" s="1"/>
  <c r="BD42" i="1"/>
  <c r="BF42" i="1"/>
  <c r="BG42" i="1"/>
  <c r="AA43" i="1"/>
  <c r="AB43" i="1" s="1"/>
  <c r="AK43" i="1"/>
  <c r="AL43" i="1" s="1"/>
  <c r="AO43" i="1"/>
  <c r="AP43" i="1"/>
  <c r="AS43" i="1"/>
  <c r="AT43" i="1"/>
  <c r="AU43" i="1"/>
  <c r="AW43" i="1"/>
  <c r="AY43" i="1"/>
  <c r="BA43" i="1"/>
  <c r="BB43" i="1"/>
  <c r="BC43" i="1"/>
  <c r="BE43" i="1" s="1"/>
  <c r="BD43" i="1"/>
  <c r="BG43" i="1"/>
  <c r="BA17" i="1"/>
  <c r="AK17" i="1"/>
  <c r="AN17" i="1" s="1"/>
  <c r="AL17" i="1"/>
  <c r="AO17" i="1"/>
  <c r="AP17" i="1"/>
  <c r="AS17" i="1"/>
  <c r="AT17" i="1"/>
  <c r="AU17" i="1"/>
  <c r="AV17" i="1"/>
  <c r="AW17" i="1"/>
  <c r="BB17" i="1"/>
  <c r="BC17" i="1"/>
  <c r="BD17" i="1"/>
  <c r="BE17" i="1" s="1"/>
  <c r="AA17" i="1"/>
  <c r="AX17" i="1" s="1"/>
  <c r="BE19" i="1" l="1"/>
  <c r="BE18" i="1"/>
  <c r="AB17" i="1"/>
  <c r="BF18" i="1"/>
  <c r="BF17" i="1"/>
  <c r="AZ19" i="1"/>
  <c r="AV19" i="1"/>
  <c r="AB19" i="1"/>
  <c r="AY18" i="1"/>
  <c r="AL18" i="1"/>
  <c r="BF19" i="1"/>
  <c r="AM42" i="1"/>
  <c r="AM35" i="1"/>
  <c r="AQ35" i="1" s="1"/>
  <c r="AM32" i="1"/>
  <c r="AQ32" i="1" s="1"/>
  <c r="AM36" i="1"/>
  <c r="AQ36" i="1" s="1"/>
  <c r="BH36" i="1" s="1"/>
  <c r="AD34" i="1"/>
  <c r="AM34" i="1"/>
  <c r="AG34" i="1"/>
  <c r="AD33" i="1"/>
  <c r="AG33" i="1"/>
  <c r="AD38" i="1"/>
  <c r="AG38" i="1"/>
  <c r="AM38" i="1"/>
  <c r="AQ38" i="1" s="1"/>
  <c r="BH38" i="1" s="1"/>
  <c r="AD37" i="1"/>
  <c r="AG37" i="1"/>
  <c r="AD40" i="1"/>
  <c r="AG40" i="1"/>
  <c r="AD29" i="1"/>
  <c r="AG29" i="1"/>
  <c r="AR29" i="1"/>
  <c r="AB42" i="1"/>
  <c r="AJ42" i="1"/>
  <c r="AR42" i="1"/>
  <c r="AV42" i="1"/>
  <c r="AZ42" i="1"/>
  <c r="AM41" i="1"/>
  <c r="AQ41" i="1" s="1"/>
  <c r="BH41" i="1" s="1"/>
  <c r="AG41" i="1"/>
  <c r="AN40" i="1"/>
  <c r="AZ43" i="1"/>
  <c r="AN42" i="1"/>
  <c r="AX41" i="1"/>
  <c r="BF41" i="1"/>
  <c r="AY40" i="1"/>
  <c r="AX39" i="1"/>
  <c r="BF39" i="1"/>
  <c r="AB39" i="1"/>
  <c r="AJ39" i="1"/>
  <c r="BC38" i="1"/>
  <c r="BE38" i="1" s="1"/>
  <c r="AN38" i="1"/>
  <c r="AL38" i="1"/>
  <c r="AY37" i="1"/>
  <c r="AM37" i="1"/>
  <c r="AG36" i="1"/>
  <c r="AX35" i="1"/>
  <c r="BF35" i="1"/>
  <c r="AB35" i="1"/>
  <c r="AJ35" i="1"/>
  <c r="AR35" i="1"/>
  <c r="AV35" i="1"/>
  <c r="AZ35" i="1"/>
  <c r="BH35" i="1" s="1"/>
  <c r="BC34" i="1"/>
  <c r="BE34" i="1" s="1"/>
  <c r="AQ34" i="1"/>
  <c r="BH34" i="1" s="1"/>
  <c r="AN34" i="1"/>
  <c r="AL34" i="1"/>
  <c r="AY33" i="1"/>
  <c r="AM33" i="1"/>
  <c r="AG32" i="1"/>
  <c r="AM31" i="1"/>
  <c r="AQ31" i="1" s="1"/>
  <c r="BH31" i="1" s="1"/>
  <c r="BC29" i="1"/>
  <c r="BE29" i="1" s="1"/>
  <c r="AN29" i="1"/>
  <c r="AB28" i="1"/>
  <c r="AR28" i="1"/>
  <c r="AV28" i="1"/>
  <c r="AZ28" i="1"/>
  <c r="AC28" i="1"/>
  <c r="AM28" i="1"/>
  <c r="AX28" i="1"/>
  <c r="BC28" i="1"/>
  <c r="BE28" i="1" s="1"/>
  <c r="AX25" i="1"/>
  <c r="BF25" i="1"/>
  <c r="AC25" i="1"/>
  <c r="AR25" i="1" s="1"/>
  <c r="AV25" i="1"/>
  <c r="AJ25" i="1"/>
  <c r="AB25" i="1"/>
  <c r="AZ25" i="1"/>
  <c r="AX43" i="1"/>
  <c r="BF43" i="1"/>
  <c r="AD42" i="1"/>
  <c r="AJ41" i="1"/>
  <c r="BC40" i="1"/>
  <c r="BE40" i="1" s="1"/>
  <c r="AX40" i="1"/>
  <c r="AM40" i="1"/>
  <c r="AQ40" i="1" s="1"/>
  <c r="BH40" i="1" s="1"/>
  <c r="AR39" i="1"/>
  <c r="AN39" i="1"/>
  <c r="AG39" i="1"/>
  <c r="AB38" i="1"/>
  <c r="AJ38" i="1"/>
  <c r="AR38" i="1"/>
  <c r="AV38" i="1"/>
  <c r="AZ38" i="1"/>
  <c r="AX38" i="1"/>
  <c r="BF38" i="1"/>
  <c r="BC37" i="1"/>
  <c r="BE37" i="1" s="1"/>
  <c r="AQ37" i="1"/>
  <c r="BH37" i="1" s="1"/>
  <c r="AL37" i="1"/>
  <c r="AN37" i="1"/>
  <c r="AY36" i="1"/>
  <c r="AG35" i="1"/>
  <c r="AB34" i="1"/>
  <c r="AJ34" i="1"/>
  <c r="AR34" i="1"/>
  <c r="AV34" i="1"/>
  <c r="AZ34" i="1"/>
  <c r="AX34" i="1"/>
  <c r="BF34" i="1"/>
  <c r="BC33" i="1"/>
  <c r="BE33" i="1" s="1"/>
  <c r="AQ33" i="1"/>
  <c r="AL33" i="1"/>
  <c r="AN33" i="1"/>
  <c r="AY32" i="1"/>
  <c r="AL31" i="1"/>
  <c r="AN31" i="1"/>
  <c r="AX29" i="1"/>
  <c r="BF29" i="1"/>
  <c r="AB29" i="1"/>
  <c r="AM29" i="1"/>
  <c r="AQ29" i="1" s="1"/>
  <c r="BH29" i="1" s="1"/>
  <c r="AZ29" i="1"/>
  <c r="AJ29" i="1"/>
  <c r="AN26" i="1"/>
  <c r="AL26" i="1"/>
  <c r="AG24" i="1"/>
  <c r="AD20" i="1"/>
  <c r="AG20" i="1"/>
  <c r="AB40" i="1"/>
  <c r="AJ40" i="1"/>
  <c r="AR40" i="1"/>
  <c r="AV40" i="1"/>
  <c r="AZ40" i="1"/>
  <c r="AX37" i="1"/>
  <c r="BF37" i="1"/>
  <c r="AB37" i="1"/>
  <c r="AJ37" i="1"/>
  <c r="AR37" i="1"/>
  <c r="AV37" i="1"/>
  <c r="AZ37" i="1"/>
  <c r="AN36" i="1"/>
  <c r="AL36" i="1"/>
  <c r="AX33" i="1"/>
  <c r="BF33" i="1"/>
  <c r="AB33" i="1"/>
  <c r="Y33" i="1" s="1"/>
  <c r="AJ33" i="1"/>
  <c r="AR33" i="1"/>
  <c r="AV33" i="1"/>
  <c r="AZ33" i="1"/>
  <c r="BH33" i="1" s="1"/>
  <c r="AN32" i="1"/>
  <c r="AL32" i="1"/>
  <c r="AD31" i="1"/>
  <c r="AJ31" i="1"/>
  <c r="AR31" i="1"/>
  <c r="AG30" i="1"/>
  <c r="AQ30" i="1"/>
  <c r="BH30" i="1" s="1"/>
  <c r="AD30" i="1"/>
  <c r="BH27" i="1"/>
  <c r="AL25" i="1"/>
  <c r="AN25" i="1"/>
  <c r="AV43" i="1"/>
  <c r="AN43" i="1"/>
  <c r="AC43" i="1"/>
  <c r="AQ42" i="1"/>
  <c r="BH42" i="1" s="1"/>
  <c r="AB36" i="1"/>
  <c r="AJ36" i="1"/>
  <c r="AR36" i="1"/>
  <c r="AV36" i="1"/>
  <c r="AZ36" i="1"/>
  <c r="AX36" i="1"/>
  <c r="BF36" i="1"/>
  <c r="AL35" i="1"/>
  <c r="AN35" i="1"/>
  <c r="AB32" i="1"/>
  <c r="AJ32" i="1"/>
  <c r="AR32" i="1"/>
  <c r="AV32" i="1"/>
  <c r="AZ32" i="1"/>
  <c r="BH32" i="1" s="1"/>
  <c r="AX32" i="1"/>
  <c r="BF32" i="1"/>
  <c r="AG31" i="1"/>
  <c r="AN30" i="1"/>
  <c r="AL30" i="1"/>
  <c r="AY29" i="1"/>
  <c r="AG22" i="1"/>
  <c r="AQ22" i="1"/>
  <c r="BH22" i="1" s="1"/>
  <c r="AD22" i="1"/>
  <c r="AQ26" i="1"/>
  <c r="BH26" i="1" s="1"/>
  <c r="AG26" i="1"/>
  <c r="AB26" i="1"/>
  <c r="AJ26" i="1"/>
  <c r="AR26" i="1"/>
  <c r="AV26" i="1"/>
  <c r="AZ26" i="1"/>
  <c r="AN24" i="1"/>
  <c r="AX23" i="1"/>
  <c r="BF23" i="1"/>
  <c r="AJ21" i="1"/>
  <c r="BC20" i="1"/>
  <c r="BE20" i="1" s="1"/>
  <c r="AX20" i="1"/>
  <c r="AM20" i="1"/>
  <c r="AQ20" i="1" s="1"/>
  <c r="AB20" i="1"/>
  <c r="AJ20" i="1"/>
  <c r="AR20" i="1"/>
  <c r="AV20" i="1"/>
  <c r="AZ20" i="1"/>
  <c r="BF31" i="1"/>
  <c r="AX31" i="1"/>
  <c r="AB30" i="1"/>
  <c r="AJ30" i="1"/>
  <c r="AR30" i="1"/>
  <c r="AV30" i="1"/>
  <c r="AZ30" i="1"/>
  <c r="AN28" i="1"/>
  <c r="AX27" i="1"/>
  <c r="Y27" i="1" s="1"/>
  <c r="BF27" i="1"/>
  <c r="AY26" i="1"/>
  <c r="BC24" i="1"/>
  <c r="BE24" i="1" s="1"/>
  <c r="AX24" i="1"/>
  <c r="AM24" i="1"/>
  <c r="AQ24" i="1" s="1"/>
  <c r="BH24" i="1" s="1"/>
  <c r="AV23" i="1"/>
  <c r="AN23" i="1"/>
  <c r="AC23" i="1"/>
  <c r="AB22" i="1"/>
  <c r="AJ22" i="1"/>
  <c r="AR22" i="1"/>
  <c r="AV22" i="1"/>
  <c r="AZ22" i="1"/>
  <c r="AZ21" i="1"/>
  <c r="AM21" i="1"/>
  <c r="AQ21" i="1" s="1"/>
  <c r="BH21" i="1" s="1"/>
  <c r="AG21" i="1"/>
  <c r="AN20" i="1"/>
  <c r="AB24" i="1"/>
  <c r="AJ24" i="1"/>
  <c r="AR24" i="1"/>
  <c r="AV24" i="1"/>
  <c r="AZ24" i="1"/>
  <c r="AZ23" i="1"/>
  <c r="AB23" i="1"/>
  <c r="AN22" i="1"/>
  <c r="AX21" i="1"/>
  <c r="BF21" i="1"/>
  <c r="AY20" i="1"/>
  <c r="AZ18" i="1"/>
  <c r="AV18" i="1"/>
  <c r="Y15" i="10"/>
  <c r="M16" i="10"/>
  <c r="N16" i="10"/>
  <c r="O16" i="10"/>
  <c r="P16" i="10"/>
  <c r="Q16" i="10"/>
  <c r="R16" i="10"/>
  <c r="S16" i="10"/>
  <c r="V16" i="10"/>
  <c r="X16" i="10"/>
  <c r="Y16" i="10"/>
  <c r="H42" i="9"/>
  <c r="I42" i="9"/>
  <c r="J42" i="9"/>
  <c r="H43" i="9"/>
  <c r="I43" i="9"/>
  <c r="J43" i="9"/>
  <c r="H44" i="9"/>
  <c r="I44" i="9"/>
  <c r="J44" i="9"/>
  <c r="H45" i="9"/>
  <c r="I45" i="9"/>
  <c r="J45" i="9"/>
  <c r="H46" i="9"/>
  <c r="I46" i="9"/>
  <c r="J46" i="9"/>
  <c r="H47" i="9"/>
  <c r="I47" i="9"/>
  <c r="J47" i="9"/>
  <c r="H48" i="9"/>
  <c r="I48" i="9"/>
  <c r="J48" i="9"/>
  <c r="H49" i="9"/>
  <c r="I49" i="9"/>
  <c r="J49" i="9"/>
  <c r="H50" i="9"/>
  <c r="I50" i="9"/>
  <c r="J50" i="9"/>
  <c r="H51" i="9"/>
  <c r="I51" i="9"/>
  <c r="J51" i="9"/>
  <c r="H52" i="9"/>
  <c r="I52" i="9"/>
  <c r="J52" i="9"/>
  <c r="H53" i="9"/>
  <c r="I53" i="9"/>
  <c r="J53" i="9"/>
  <c r="H54" i="9"/>
  <c r="I54" i="9"/>
  <c r="J54" i="9"/>
  <c r="H55" i="9"/>
  <c r="I55" i="9"/>
  <c r="J55" i="9"/>
  <c r="H56" i="9"/>
  <c r="I56" i="9"/>
  <c r="J56" i="9"/>
  <c r="H57" i="9"/>
  <c r="I57" i="9"/>
  <c r="J57" i="9"/>
  <c r="H58" i="9"/>
  <c r="I58" i="9"/>
  <c r="J58" i="9"/>
  <c r="H59" i="9"/>
  <c r="I59" i="9"/>
  <c r="J59" i="9"/>
  <c r="H60" i="9"/>
  <c r="I60" i="9"/>
  <c r="J60" i="9"/>
  <c r="H61" i="9"/>
  <c r="I61" i="9"/>
  <c r="J61" i="9"/>
  <c r="H62" i="9"/>
  <c r="I62" i="9"/>
  <c r="J62" i="9"/>
  <c r="H63" i="9"/>
  <c r="I63" i="9"/>
  <c r="J63" i="9"/>
  <c r="H64" i="9"/>
  <c r="I64" i="9"/>
  <c r="J64" i="9"/>
  <c r="H65" i="9"/>
  <c r="I65" i="9"/>
  <c r="J65" i="9"/>
  <c r="H66" i="9"/>
  <c r="I66" i="9"/>
  <c r="J66" i="9"/>
  <c r="H67" i="9"/>
  <c r="I67" i="9"/>
  <c r="J67" i="9"/>
  <c r="H68" i="9"/>
  <c r="I68" i="9"/>
  <c r="J68" i="9"/>
  <c r="H69" i="9"/>
  <c r="I69" i="9"/>
  <c r="J69" i="9"/>
  <c r="H70" i="9"/>
  <c r="I70" i="9"/>
  <c r="J70" i="9"/>
  <c r="H71" i="9"/>
  <c r="I71" i="9"/>
  <c r="J71" i="9"/>
  <c r="H72" i="9"/>
  <c r="I72" i="9"/>
  <c r="J72" i="9"/>
  <c r="H73" i="9"/>
  <c r="I73" i="9"/>
  <c r="J73" i="9"/>
  <c r="H74" i="9"/>
  <c r="I74" i="9"/>
  <c r="J74" i="9"/>
  <c r="H75" i="9"/>
  <c r="I75" i="9"/>
  <c r="J75" i="9"/>
  <c r="H76" i="9"/>
  <c r="I76" i="9"/>
  <c r="J76" i="9"/>
  <c r="H77" i="9"/>
  <c r="I77" i="9"/>
  <c r="J77" i="9"/>
  <c r="H78" i="9"/>
  <c r="I78" i="9"/>
  <c r="J78" i="9"/>
  <c r="H79" i="9"/>
  <c r="I79" i="9"/>
  <c r="J79" i="9"/>
  <c r="H80" i="9"/>
  <c r="I80" i="9"/>
  <c r="J80" i="9"/>
  <c r="H81" i="9"/>
  <c r="I81" i="9"/>
  <c r="J81" i="9"/>
  <c r="H82" i="9"/>
  <c r="I82" i="9"/>
  <c r="J82" i="9"/>
  <c r="H83" i="9"/>
  <c r="I83" i="9"/>
  <c r="J83" i="9"/>
  <c r="H84" i="9"/>
  <c r="I84" i="9"/>
  <c r="J84" i="9"/>
  <c r="H85" i="9"/>
  <c r="I85" i="9"/>
  <c r="J85" i="9"/>
  <c r="H86" i="9"/>
  <c r="I86" i="9"/>
  <c r="J86" i="9"/>
  <c r="H87" i="9"/>
  <c r="I87" i="9"/>
  <c r="J87" i="9"/>
  <c r="H88" i="9"/>
  <c r="I88" i="9"/>
  <c r="J88" i="9"/>
  <c r="H89" i="9"/>
  <c r="I89" i="9"/>
  <c r="J89" i="9"/>
  <c r="H90" i="9"/>
  <c r="I90" i="9"/>
  <c r="J90" i="9"/>
  <c r="H91" i="9"/>
  <c r="I91" i="9"/>
  <c r="J91" i="9"/>
  <c r="H92" i="9"/>
  <c r="I92" i="9"/>
  <c r="J92" i="9"/>
  <c r="H93" i="9"/>
  <c r="I93" i="9"/>
  <c r="J93" i="9"/>
  <c r="H94" i="9"/>
  <c r="I94" i="9"/>
  <c r="J94" i="9"/>
  <c r="H95" i="9"/>
  <c r="I95" i="9"/>
  <c r="J95" i="9"/>
  <c r="H96" i="9"/>
  <c r="I96" i="9"/>
  <c r="J96" i="9"/>
  <c r="H97" i="9"/>
  <c r="I97" i="9"/>
  <c r="J97" i="9"/>
  <c r="H98" i="9"/>
  <c r="I98" i="9"/>
  <c r="J98" i="9"/>
  <c r="H99" i="9"/>
  <c r="I99" i="9"/>
  <c r="J99" i="9"/>
  <c r="H100" i="9"/>
  <c r="I100" i="9"/>
  <c r="J100" i="9"/>
  <c r="H101" i="9"/>
  <c r="I101" i="9"/>
  <c r="J101" i="9"/>
  <c r="H102" i="9"/>
  <c r="I102" i="9"/>
  <c r="J102" i="9"/>
  <c r="H103" i="9"/>
  <c r="I103" i="9"/>
  <c r="J103" i="9"/>
  <c r="H104" i="9"/>
  <c r="I104" i="9"/>
  <c r="J104" i="9"/>
  <c r="H105" i="9"/>
  <c r="I105" i="9"/>
  <c r="J105" i="9"/>
  <c r="H106" i="9"/>
  <c r="I106" i="9"/>
  <c r="J106" i="9"/>
  <c r="H107" i="9"/>
  <c r="I107" i="9"/>
  <c r="J107" i="9"/>
  <c r="H108" i="9"/>
  <c r="I108" i="9"/>
  <c r="J108" i="9"/>
  <c r="H109" i="9"/>
  <c r="I109" i="9"/>
  <c r="J109" i="9"/>
  <c r="H110" i="9"/>
  <c r="I110" i="9"/>
  <c r="J110" i="9"/>
  <c r="H111" i="9"/>
  <c r="I111" i="9"/>
  <c r="J111" i="9"/>
  <c r="H112" i="9"/>
  <c r="I112" i="9"/>
  <c r="J112" i="9"/>
  <c r="H113" i="9"/>
  <c r="I113" i="9"/>
  <c r="J113" i="9"/>
  <c r="H114" i="9"/>
  <c r="I114" i="9"/>
  <c r="J114" i="9"/>
  <c r="H115" i="9"/>
  <c r="I115" i="9"/>
  <c r="J115" i="9"/>
  <c r="H116" i="9"/>
  <c r="I116" i="9"/>
  <c r="J116" i="9"/>
  <c r="H117" i="9"/>
  <c r="I117" i="9"/>
  <c r="J117" i="9"/>
  <c r="H118" i="9"/>
  <c r="I118" i="9"/>
  <c r="J118" i="9"/>
  <c r="H119" i="9"/>
  <c r="I119" i="9"/>
  <c r="J119" i="9"/>
  <c r="H120" i="9"/>
  <c r="I120" i="9"/>
  <c r="J120" i="9"/>
  <c r="H121" i="9"/>
  <c r="I121" i="9"/>
  <c r="J121" i="9"/>
  <c r="H122" i="9"/>
  <c r="I122" i="9"/>
  <c r="J122" i="9"/>
  <c r="H123" i="9"/>
  <c r="I123" i="9"/>
  <c r="J123" i="9"/>
  <c r="H124" i="9"/>
  <c r="I124" i="9"/>
  <c r="J124" i="9"/>
  <c r="H125" i="9"/>
  <c r="I125" i="9"/>
  <c r="J125" i="9"/>
  <c r="H126" i="9"/>
  <c r="I126" i="9"/>
  <c r="J126" i="9"/>
  <c r="H127" i="9"/>
  <c r="I127" i="9"/>
  <c r="J127" i="9"/>
  <c r="H128" i="9"/>
  <c r="I128" i="9"/>
  <c r="J128" i="9"/>
  <c r="H129" i="9"/>
  <c r="I129" i="9"/>
  <c r="J129" i="9"/>
  <c r="H130" i="9"/>
  <c r="I130" i="9"/>
  <c r="J130" i="9"/>
  <c r="H131" i="9"/>
  <c r="I131" i="9"/>
  <c r="J131" i="9"/>
  <c r="H132" i="9"/>
  <c r="I132" i="9"/>
  <c r="J132" i="9"/>
  <c r="H133" i="9"/>
  <c r="I133" i="9"/>
  <c r="J133" i="9"/>
  <c r="H134" i="9"/>
  <c r="I134" i="9"/>
  <c r="J134" i="9"/>
  <c r="H135" i="9"/>
  <c r="I135" i="9"/>
  <c r="J135" i="9"/>
  <c r="H136" i="9"/>
  <c r="I136" i="9"/>
  <c r="J136" i="9"/>
  <c r="H137" i="9"/>
  <c r="I137" i="9"/>
  <c r="J137" i="9"/>
  <c r="H138" i="9"/>
  <c r="I138" i="9"/>
  <c r="J138" i="9"/>
  <c r="H139" i="9"/>
  <c r="I139" i="9"/>
  <c r="J139" i="9"/>
  <c r="H140" i="9"/>
  <c r="I140" i="9"/>
  <c r="J140" i="9"/>
  <c r="H141" i="9"/>
  <c r="I141" i="9"/>
  <c r="J141" i="9"/>
  <c r="H142" i="9"/>
  <c r="I142" i="9"/>
  <c r="J142" i="9"/>
  <c r="H143" i="9"/>
  <c r="I143" i="9"/>
  <c r="J143" i="9"/>
  <c r="H144" i="9"/>
  <c r="I144" i="9"/>
  <c r="J144" i="9"/>
  <c r="H145" i="9"/>
  <c r="I145" i="9"/>
  <c r="J145" i="9"/>
  <c r="H146" i="9"/>
  <c r="I146" i="9"/>
  <c r="J146" i="9"/>
  <c r="H147" i="9"/>
  <c r="I147" i="9"/>
  <c r="J147" i="9"/>
  <c r="H148" i="9"/>
  <c r="I148" i="9"/>
  <c r="J148" i="9"/>
  <c r="H149" i="9"/>
  <c r="I149" i="9"/>
  <c r="J149" i="9"/>
  <c r="H150" i="9"/>
  <c r="I150" i="9"/>
  <c r="J150" i="9"/>
  <c r="H151" i="9"/>
  <c r="I151" i="9"/>
  <c r="J151" i="9"/>
  <c r="H152" i="9"/>
  <c r="I152" i="9"/>
  <c r="J152" i="9"/>
  <c r="H153" i="9"/>
  <c r="I153" i="9"/>
  <c r="J153" i="9"/>
  <c r="H154" i="9"/>
  <c r="I154" i="9"/>
  <c r="J154" i="9"/>
  <c r="H155" i="9"/>
  <c r="I155" i="9"/>
  <c r="J155" i="9"/>
  <c r="H156" i="9"/>
  <c r="I156" i="9"/>
  <c r="J156" i="9"/>
  <c r="H157" i="9"/>
  <c r="I157" i="9"/>
  <c r="J157" i="9"/>
  <c r="H158" i="9"/>
  <c r="I158" i="9"/>
  <c r="J158" i="9"/>
  <c r="H159" i="9"/>
  <c r="I159" i="9"/>
  <c r="J159" i="9"/>
  <c r="H160" i="9"/>
  <c r="I160" i="9"/>
  <c r="J160" i="9"/>
  <c r="H161" i="9"/>
  <c r="I161" i="9"/>
  <c r="J161" i="9"/>
  <c r="H162" i="9"/>
  <c r="I162" i="9"/>
  <c r="J162" i="9"/>
  <c r="H163" i="9"/>
  <c r="I163" i="9"/>
  <c r="J163" i="9"/>
  <c r="H164" i="9"/>
  <c r="I164" i="9"/>
  <c r="J164" i="9"/>
  <c r="H165" i="9"/>
  <c r="I165" i="9"/>
  <c r="J165" i="9"/>
  <c r="H166" i="9"/>
  <c r="I166" i="9"/>
  <c r="J166" i="9"/>
  <c r="H167" i="9"/>
  <c r="I167" i="9"/>
  <c r="J167" i="9"/>
  <c r="H168" i="9"/>
  <c r="I168" i="9"/>
  <c r="J168" i="9"/>
  <c r="H169" i="9"/>
  <c r="I169" i="9"/>
  <c r="J169" i="9"/>
  <c r="H170" i="9"/>
  <c r="I170" i="9"/>
  <c r="J170" i="9"/>
  <c r="H171" i="9"/>
  <c r="I171" i="9"/>
  <c r="J171" i="9"/>
  <c r="H172" i="9"/>
  <c r="I172" i="9"/>
  <c r="J172" i="9"/>
  <c r="H173" i="9"/>
  <c r="I173" i="9"/>
  <c r="J173" i="9"/>
  <c r="H174" i="9"/>
  <c r="I174" i="9"/>
  <c r="J174" i="9"/>
  <c r="H175" i="9"/>
  <c r="I175" i="9"/>
  <c r="J175" i="9"/>
  <c r="H176" i="9"/>
  <c r="I176" i="9"/>
  <c r="J176" i="9"/>
  <c r="H177" i="9"/>
  <c r="I177" i="9"/>
  <c r="J177" i="9"/>
  <c r="H178" i="9"/>
  <c r="I178" i="9"/>
  <c r="J178" i="9"/>
  <c r="H179" i="9"/>
  <c r="I179" i="9"/>
  <c r="J179" i="9"/>
  <c r="H180" i="9"/>
  <c r="I180" i="9"/>
  <c r="J180" i="9"/>
  <c r="H181" i="9"/>
  <c r="I181" i="9"/>
  <c r="J181" i="9"/>
  <c r="H182" i="9"/>
  <c r="I182" i="9"/>
  <c r="J182" i="9"/>
  <c r="H183" i="9"/>
  <c r="I183" i="9"/>
  <c r="J183" i="9"/>
  <c r="H184" i="9"/>
  <c r="I184" i="9"/>
  <c r="J184" i="9"/>
  <c r="H185" i="9"/>
  <c r="I185" i="9"/>
  <c r="J185" i="9"/>
  <c r="H186" i="9"/>
  <c r="I186" i="9"/>
  <c r="J186" i="9"/>
  <c r="H187" i="9"/>
  <c r="I187" i="9"/>
  <c r="J187" i="9"/>
  <c r="H188" i="9"/>
  <c r="I188" i="9"/>
  <c r="J188" i="9"/>
  <c r="H189" i="9"/>
  <c r="I189" i="9"/>
  <c r="J189" i="9"/>
  <c r="H190" i="9"/>
  <c r="I190" i="9"/>
  <c r="J190" i="9"/>
  <c r="H191" i="9"/>
  <c r="I191" i="9"/>
  <c r="J191" i="9"/>
  <c r="H192" i="9"/>
  <c r="I192" i="9"/>
  <c r="J192" i="9"/>
  <c r="H193" i="9"/>
  <c r="I193" i="9"/>
  <c r="J193" i="9"/>
  <c r="H194" i="9"/>
  <c r="I194" i="9"/>
  <c r="J194" i="9"/>
  <c r="H195" i="9"/>
  <c r="I195" i="9"/>
  <c r="J195" i="9"/>
  <c r="H196" i="9"/>
  <c r="I196" i="9"/>
  <c r="J196" i="9"/>
  <c r="H197" i="9"/>
  <c r="I197" i="9"/>
  <c r="J197" i="9"/>
  <c r="H198" i="9"/>
  <c r="I198" i="9"/>
  <c r="J198" i="9"/>
  <c r="H199" i="9"/>
  <c r="I199" i="9"/>
  <c r="J199" i="9"/>
  <c r="H200" i="9"/>
  <c r="I200" i="9"/>
  <c r="J200" i="9"/>
  <c r="H201" i="9"/>
  <c r="I201" i="9"/>
  <c r="J201" i="9"/>
  <c r="H202" i="9"/>
  <c r="I202" i="9"/>
  <c r="J202" i="9"/>
  <c r="H203" i="9"/>
  <c r="I203" i="9"/>
  <c r="J203" i="9"/>
  <c r="H204" i="9"/>
  <c r="I204" i="9"/>
  <c r="J204" i="9"/>
  <c r="H205" i="9"/>
  <c r="I205" i="9"/>
  <c r="J205" i="9"/>
  <c r="H206" i="9"/>
  <c r="I206" i="9"/>
  <c r="J206" i="9"/>
  <c r="H207" i="9"/>
  <c r="I207" i="9"/>
  <c r="J207" i="9"/>
  <c r="H208" i="9"/>
  <c r="I208" i="9"/>
  <c r="J208" i="9"/>
  <c r="H209" i="9"/>
  <c r="I209" i="9"/>
  <c r="J209" i="9"/>
  <c r="H210" i="9"/>
  <c r="I210" i="9"/>
  <c r="J210" i="9"/>
  <c r="H211" i="9"/>
  <c r="I211" i="9"/>
  <c r="J211" i="9"/>
  <c r="H212" i="9"/>
  <c r="I212" i="9"/>
  <c r="J212" i="9"/>
  <c r="H213" i="9"/>
  <c r="I213" i="9"/>
  <c r="J213" i="9"/>
  <c r="H214" i="9"/>
  <c r="I214" i="9"/>
  <c r="J214" i="9"/>
  <c r="H215" i="9"/>
  <c r="I215" i="9"/>
  <c r="J215" i="9"/>
  <c r="H216" i="9"/>
  <c r="I216" i="9"/>
  <c r="J216" i="9"/>
  <c r="H217" i="9"/>
  <c r="I217" i="9"/>
  <c r="J217" i="9"/>
  <c r="H218" i="9"/>
  <c r="I218" i="9"/>
  <c r="J218" i="9"/>
  <c r="H219" i="9"/>
  <c r="I219" i="9"/>
  <c r="J219" i="9"/>
  <c r="H220" i="9"/>
  <c r="I220" i="9"/>
  <c r="J220" i="9"/>
  <c r="H221" i="9"/>
  <c r="I221" i="9"/>
  <c r="J221" i="9"/>
  <c r="H222" i="9"/>
  <c r="I222" i="9"/>
  <c r="J222" i="9"/>
  <c r="H223" i="9"/>
  <c r="I223" i="9"/>
  <c r="J223" i="9"/>
  <c r="H224" i="9"/>
  <c r="I224" i="9"/>
  <c r="J224" i="9"/>
  <c r="H225" i="9"/>
  <c r="I225" i="9"/>
  <c r="J225" i="9"/>
  <c r="H226" i="9"/>
  <c r="I226" i="9"/>
  <c r="J226" i="9"/>
  <c r="H227" i="9"/>
  <c r="I227" i="9"/>
  <c r="J227" i="9"/>
  <c r="H228" i="9"/>
  <c r="I228" i="9"/>
  <c r="J228" i="9"/>
  <c r="H229" i="9"/>
  <c r="I229" i="9"/>
  <c r="J229" i="9"/>
  <c r="H230" i="9"/>
  <c r="I230" i="9"/>
  <c r="J230" i="9"/>
  <c r="H231" i="9"/>
  <c r="I231" i="9"/>
  <c r="J231" i="9"/>
  <c r="H232" i="9"/>
  <c r="I232" i="9"/>
  <c r="J232" i="9"/>
  <c r="H233" i="9"/>
  <c r="I233" i="9"/>
  <c r="J233" i="9"/>
  <c r="H234" i="9"/>
  <c r="I234" i="9"/>
  <c r="J234" i="9"/>
  <c r="H235" i="9"/>
  <c r="I235" i="9"/>
  <c r="J235" i="9"/>
  <c r="H236" i="9"/>
  <c r="I236" i="9"/>
  <c r="J236" i="9"/>
  <c r="H237" i="9"/>
  <c r="I237" i="9"/>
  <c r="J237" i="9"/>
  <c r="H238" i="9"/>
  <c r="I238" i="9"/>
  <c r="J238" i="9"/>
  <c r="H239" i="9"/>
  <c r="I239" i="9"/>
  <c r="J239" i="9"/>
  <c r="H240" i="9"/>
  <c r="I240" i="9"/>
  <c r="J240" i="9"/>
  <c r="H241" i="9"/>
  <c r="I241" i="9"/>
  <c r="J241" i="9"/>
  <c r="H242" i="9"/>
  <c r="I242" i="9"/>
  <c r="J242" i="9"/>
  <c r="H243" i="9"/>
  <c r="I243" i="9"/>
  <c r="J243" i="9"/>
  <c r="H244" i="9"/>
  <c r="I244" i="9"/>
  <c r="J244" i="9"/>
  <c r="H245" i="9"/>
  <c r="I245" i="9"/>
  <c r="J245" i="9"/>
  <c r="H246" i="9"/>
  <c r="I246" i="9"/>
  <c r="J246" i="9"/>
  <c r="H247" i="9"/>
  <c r="I247" i="9"/>
  <c r="J247" i="9"/>
  <c r="H248" i="9"/>
  <c r="I248" i="9"/>
  <c r="J248" i="9"/>
  <c r="H249" i="9"/>
  <c r="I249" i="9"/>
  <c r="J249" i="9"/>
  <c r="H250" i="9"/>
  <c r="I250" i="9"/>
  <c r="J250" i="9"/>
  <c r="H251" i="9"/>
  <c r="I251" i="9"/>
  <c r="J251" i="9"/>
  <c r="H252" i="9"/>
  <c r="I252" i="9"/>
  <c r="J252" i="9"/>
  <c r="H253" i="9"/>
  <c r="I253" i="9"/>
  <c r="J253" i="9"/>
  <c r="H254" i="9"/>
  <c r="I254" i="9"/>
  <c r="J254" i="9"/>
  <c r="H255" i="9"/>
  <c r="I255" i="9"/>
  <c r="J255" i="9"/>
  <c r="H256" i="9"/>
  <c r="I256" i="9"/>
  <c r="J256" i="9"/>
  <c r="H257" i="9"/>
  <c r="I257" i="9"/>
  <c r="J257" i="9"/>
  <c r="H258" i="9"/>
  <c r="I258" i="9"/>
  <c r="J258" i="9"/>
  <c r="H259" i="9"/>
  <c r="I259" i="9"/>
  <c r="J259" i="9"/>
  <c r="H260" i="9"/>
  <c r="I260" i="9"/>
  <c r="J260" i="9"/>
  <c r="H261" i="9"/>
  <c r="I261" i="9"/>
  <c r="J261" i="9"/>
  <c r="H262" i="9"/>
  <c r="I262" i="9"/>
  <c r="J262" i="9"/>
  <c r="H263" i="9"/>
  <c r="I263" i="9"/>
  <c r="J263" i="9"/>
  <c r="H264" i="9"/>
  <c r="I264" i="9"/>
  <c r="J264" i="9"/>
  <c r="H265" i="9"/>
  <c r="I265" i="9"/>
  <c r="J265" i="9"/>
  <c r="H266" i="9"/>
  <c r="I266" i="9"/>
  <c r="J266" i="9"/>
  <c r="H267" i="9"/>
  <c r="I267" i="9"/>
  <c r="J267" i="9"/>
  <c r="H268" i="9"/>
  <c r="I268" i="9"/>
  <c r="J268" i="9"/>
  <c r="H269" i="9"/>
  <c r="I269" i="9"/>
  <c r="J269" i="9"/>
  <c r="H270" i="9"/>
  <c r="I270" i="9"/>
  <c r="J270" i="9"/>
  <c r="H271" i="9"/>
  <c r="I271" i="9"/>
  <c r="J271" i="9"/>
  <c r="H272" i="9"/>
  <c r="I272" i="9"/>
  <c r="J272" i="9"/>
  <c r="H273" i="9"/>
  <c r="I273" i="9"/>
  <c r="J273" i="9"/>
  <c r="H274" i="9"/>
  <c r="I274" i="9"/>
  <c r="J274" i="9"/>
  <c r="H275" i="9"/>
  <c r="I275" i="9"/>
  <c r="J275" i="9"/>
  <c r="H276" i="9"/>
  <c r="I276" i="9"/>
  <c r="J276" i="9"/>
  <c r="H277" i="9"/>
  <c r="I277" i="9"/>
  <c r="J277" i="9"/>
  <c r="H278" i="9"/>
  <c r="I278" i="9"/>
  <c r="J278" i="9"/>
  <c r="H279" i="9"/>
  <c r="I279" i="9"/>
  <c r="J279" i="9"/>
  <c r="H280" i="9"/>
  <c r="I280" i="9"/>
  <c r="J280" i="9"/>
  <c r="H281" i="9"/>
  <c r="I281" i="9"/>
  <c r="J281" i="9"/>
  <c r="H282" i="9"/>
  <c r="I282" i="9"/>
  <c r="J282" i="9"/>
  <c r="H283" i="9"/>
  <c r="I283" i="9"/>
  <c r="J283" i="9"/>
  <c r="H284" i="9"/>
  <c r="I284" i="9"/>
  <c r="J284" i="9"/>
  <c r="H285" i="9"/>
  <c r="I285" i="9"/>
  <c r="J285" i="9"/>
  <c r="H286" i="9"/>
  <c r="I286" i="9"/>
  <c r="J286" i="9"/>
  <c r="H287" i="9"/>
  <c r="I287" i="9"/>
  <c r="J287" i="9"/>
  <c r="H288" i="9"/>
  <c r="I288" i="9"/>
  <c r="J288" i="9"/>
  <c r="H289" i="9"/>
  <c r="I289" i="9"/>
  <c r="J289" i="9"/>
  <c r="H290" i="9"/>
  <c r="I290" i="9"/>
  <c r="J290" i="9"/>
  <c r="H291" i="9"/>
  <c r="I291" i="9"/>
  <c r="J291" i="9"/>
  <c r="H292" i="9"/>
  <c r="I292" i="9"/>
  <c r="J292" i="9"/>
  <c r="H293" i="9"/>
  <c r="I293" i="9"/>
  <c r="J293" i="9"/>
  <c r="H294" i="9"/>
  <c r="I294" i="9"/>
  <c r="J294" i="9"/>
  <c r="H295" i="9"/>
  <c r="I295" i="9"/>
  <c r="J295" i="9"/>
  <c r="H296" i="9"/>
  <c r="I296" i="9"/>
  <c r="J296" i="9"/>
  <c r="H297" i="9"/>
  <c r="I297" i="9"/>
  <c r="J297" i="9"/>
  <c r="H298" i="9"/>
  <c r="I298" i="9"/>
  <c r="J298" i="9"/>
  <c r="H299" i="9"/>
  <c r="I299" i="9"/>
  <c r="J299" i="9"/>
  <c r="H300" i="9"/>
  <c r="I300" i="9"/>
  <c r="J300" i="9"/>
  <c r="H301" i="9"/>
  <c r="I301" i="9"/>
  <c r="J301" i="9"/>
  <c r="H302" i="9"/>
  <c r="I302" i="9"/>
  <c r="J302" i="9"/>
  <c r="H303" i="9"/>
  <c r="I303" i="9"/>
  <c r="J303" i="9"/>
  <c r="H304" i="9"/>
  <c r="I304" i="9"/>
  <c r="J304" i="9"/>
  <c r="H305" i="9"/>
  <c r="I305" i="9"/>
  <c r="J305" i="9"/>
  <c r="H306" i="9"/>
  <c r="I306" i="9"/>
  <c r="J306" i="9"/>
  <c r="H307" i="9"/>
  <c r="I307" i="9"/>
  <c r="J307" i="9"/>
  <c r="H308" i="9"/>
  <c r="I308" i="9"/>
  <c r="J308" i="9"/>
  <c r="H309" i="9"/>
  <c r="I309" i="9"/>
  <c r="J309" i="9"/>
  <c r="H310" i="9"/>
  <c r="I310" i="9"/>
  <c r="J310" i="9"/>
  <c r="H311" i="9"/>
  <c r="I311" i="9"/>
  <c r="J311" i="9"/>
  <c r="H312" i="9"/>
  <c r="I312" i="9"/>
  <c r="J312" i="9"/>
  <c r="H313" i="9"/>
  <c r="I313" i="9"/>
  <c r="J313" i="9"/>
  <c r="H314" i="9"/>
  <c r="I314" i="9"/>
  <c r="J314" i="9"/>
  <c r="H315" i="9"/>
  <c r="I315" i="9"/>
  <c r="J315" i="9"/>
  <c r="H316" i="9"/>
  <c r="I316" i="9"/>
  <c r="J316" i="9"/>
  <c r="H317" i="9"/>
  <c r="I317" i="9"/>
  <c r="J317" i="9"/>
  <c r="H318" i="9"/>
  <c r="I318" i="9"/>
  <c r="J318" i="9"/>
  <c r="H319" i="9"/>
  <c r="I319" i="9"/>
  <c r="J319" i="9"/>
  <c r="H320" i="9"/>
  <c r="I320" i="9"/>
  <c r="J320" i="9"/>
  <c r="H321" i="9"/>
  <c r="I321" i="9"/>
  <c r="J321" i="9"/>
  <c r="H322" i="9"/>
  <c r="I322" i="9"/>
  <c r="J322" i="9"/>
  <c r="H323" i="9"/>
  <c r="I323" i="9"/>
  <c r="J323" i="9"/>
  <c r="H324" i="9"/>
  <c r="I324" i="9"/>
  <c r="J324" i="9"/>
  <c r="H325" i="9"/>
  <c r="I325" i="9"/>
  <c r="J325" i="9"/>
  <c r="H326" i="9"/>
  <c r="I326" i="9"/>
  <c r="J326" i="9"/>
  <c r="H327" i="9"/>
  <c r="I327" i="9"/>
  <c r="J327" i="9"/>
  <c r="H328" i="9"/>
  <c r="I328" i="9"/>
  <c r="J328" i="9"/>
  <c r="H329" i="9"/>
  <c r="I329" i="9"/>
  <c r="J329" i="9"/>
  <c r="H330" i="9"/>
  <c r="I330" i="9"/>
  <c r="J330" i="9"/>
  <c r="H331" i="9"/>
  <c r="I331" i="9"/>
  <c r="J331" i="9"/>
  <c r="H332" i="9"/>
  <c r="I332" i="9"/>
  <c r="J332" i="9"/>
  <c r="H333" i="9"/>
  <c r="I333" i="9"/>
  <c r="J333" i="9"/>
  <c r="H334" i="9"/>
  <c r="I334" i="9"/>
  <c r="J334" i="9"/>
  <c r="H335" i="9"/>
  <c r="I335" i="9"/>
  <c r="J335" i="9"/>
  <c r="H336" i="9"/>
  <c r="I336" i="9"/>
  <c r="J336" i="9"/>
  <c r="H337" i="9"/>
  <c r="I337" i="9"/>
  <c r="J337" i="9"/>
  <c r="H338" i="9"/>
  <c r="I338" i="9"/>
  <c r="J338" i="9"/>
  <c r="H339" i="9"/>
  <c r="I339" i="9"/>
  <c r="J339" i="9"/>
  <c r="H340" i="9"/>
  <c r="I340" i="9"/>
  <c r="J340" i="9"/>
  <c r="H341" i="9"/>
  <c r="I341" i="9"/>
  <c r="J341" i="9"/>
  <c r="H342" i="9"/>
  <c r="I342" i="9"/>
  <c r="J342" i="9"/>
  <c r="H343" i="9"/>
  <c r="I343" i="9"/>
  <c r="J343" i="9"/>
  <c r="H344" i="9"/>
  <c r="I344" i="9"/>
  <c r="J344" i="9"/>
  <c r="H345" i="9"/>
  <c r="I345" i="9"/>
  <c r="J345" i="9"/>
  <c r="H346" i="9"/>
  <c r="I346" i="9"/>
  <c r="J346" i="9"/>
  <c r="H347" i="9"/>
  <c r="I347" i="9"/>
  <c r="J347" i="9"/>
  <c r="H348" i="9"/>
  <c r="I348" i="9"/>
  <c r="J348" i="9"/>
  <c r="H349" i="9"/>
  <c r="I349" i="9"/>
  <c r="J349" i="9"/>
  <c r="H350" i="9"/>
  <c r="I350" i="9"/>
  <c r="J350" i="9"/>
  <c r="H351" i="9"/>
  <c r="I351" i="9"/>
  <c r="J351" i="9"/>
  <c r="H352" i="9"/>
  <c r="I352" i="9"/>
  <c r="J352" i="9"/>
  <c r="H353" i="9"/>
  <c r="I353" i="9"/>
  <c r="J353" i="9"/>
  <c r="H354" i="9"/>
  <c r="I354" i="9"/>
  <c r="J354" i="9"/>
  <c r="H355" i="9"/>
  <c r="I355" i="9"/>
  <c r="J355" i="9"/>
  <c r="H356" i="9"/>
  <c r="I356" i="9"/>
  <c r="J356" i="9"/>
  <c r="H357" i="9"/>
  <c r="I357" i="9"/>
  <c r="J357" i="9"/>
  <c r="H358" i="9"/>
  <c r="I358" i="9"/>
  <c r="J358" i="9"/>
  <c r="H359" i="9"/>
  <c r="I359" i="9"/>
  <c r="J359" i="9"/>
  <c r="H360" i="9"/>
  <c r="I360" i="9"/>
  <c r="J360" i="9"/>
  <c r="H361" i="9"/>
  <c r="I361" i="9"/>
  <c r="J361" i="9"/>
  <c r="H362" i="9"/>
  <c r="I362" i="9"/>
  <c r="J362" i="9"/>
  <c r="H363" i="9"/>
  <c r="I363" i="9"/>
  <c r="J363" i="9"/>
  <c r="H364" i="9"/>
  <c r="I364" i="9"/>
  <c r="J364" i="9"/>
  <c r="H365" i="9"/>
  <c r="I365" i="9"/>
  <c r="J365" i="9"/>
  <c r="H366" i="9"/>
  <c r="I366" i="9"/>
  <c r="J366" i="9"/>
  <c r="H367" i="9"/>
  <c r="I367" i="9"/>
  <c r="J367" i="9"/>
  <c r="H368" i="9"/>
  <c r="I368" i="9"/>
  <c r="J368" i="9"/>
  <c r="H369" i="9"/>
  <c r="I369" i="9"/>
  <c r="J369" i="9"/>
  <c r="H370" i="9"/>
  <c r="I370" i="9"/>
  <c r="J370" i="9"/>
  <c r="H371" i="9"/>
  <c r="I371" i="9"/>
  <c r="J371" i="9"/>
  <c r="H372" i="9"/>
  <c r="I372" i="9"/>
  <c r="J372" i="9"/>
  <c r="H373" i="9"/>
  <c r="I373" i="9"/>
  <c r="J373" i="9"/>
  <c r="H374" i="9"/>
  <c r="I374" i="9"/>
  <c r="J374" i="9"/>
  <c r="H375" i="9"/>
  <c r="I375" i="9"/>
  <c r="J375" i="9"/>
  <c r="H376" i="9"/>
  <c r="I376" i="9"/>
  <c r="J376" i="9"/>
  <c r="H377" i="9"/>
  <c r="I377" i="9"/>
  <c r="J377" i="9"/>
  <c r="H378" i="9"/>
  <c r="I378" i="9"/>
  <c r="J378" i="9"/>
  <c r="H379" i="9"/>
  <c r="I379" i="9"/>
  <c r="J379" i="9"/>
  <c r="H380" i="9"/>
  <c r="I380" i="9"/>
  <c r="J380" i="9"/>
  <c r="H381" i="9"/>
  <c r="I381" i="9"/>
  <c r="J381" i="9"/>
  <c r="H382" i="9"/>
  <c r="I382" i="9"/>
  <c r="J382" i="9"/>
  <c r="H383" i="9"/>
  <c r="I383" i="9"/>
  <c r="J383" i="9"/>
  <c r="H384" i="9"/>
  <c r="I384" i="9"/>
  <c r="J384" i="9"/>
  <c r="H385" i="9"/>
  <c r="I385" i="9"/>
  <c r="J385" i="9"/>
  <c r="H386" i="9"/>
  <c r="I386" i="9"/>
  <c r="J386" i="9"/>
  <c r="H387" i="9"/>
  <c r="I387" i="9"/>
  <c r="J387" i="9"/>
  <c r="H388" i="9"/>
  <c r="I388" i="9"/>
  <c r="J388" i="9"/>
  <c r="H389" i="9"/>
  <c r="I389" i="9"/>
  <c r="J389" i="9"/>
  <c r="H390" i="9"/>
  <c r="I390" i="9"/>
  <c r="J390" i="9"/>
  <c r="H391" i="9"/>
  <c r="I391" i="9"/>
  <c r="J391" i="9"/>
  <c r="H392" i="9"/>
  <c r="I392" i="9"/>
  <c r="J392" i="9"/>
  <c r="H393" i="9"/>
  <c r="I393" i="9"/>
  <c r="J393" i="9"/>
  <c r="H394" i="9"/>
  <c r="I394" i="9"/>
  <c r="J394" i="9"/>
  <c r="H395" i="9"/>
  <c r="I395" i="9"/>
  <c r="J395" i="9"/>
  <c r="H396" i="9"/>
  <c r="I396" i="9"/>
  <c r="J396" i="9"/>
  <c r="H397" i="9"/>
  <c r="I397" i="9"/>
  <c r="J397" i="9"/>
  <c r="H398" i="9"/>
  <c r="I398" i="9"/>
  <c r="J398" i="9"/>
  <c r="H399" i="9"/>
  <c r="I399" i="9"/>
  <c r="J399" i="9"/>
  <c r="H400" i="9"/>
  <c r="I400" i="9"/>
  <c r="J400" i="9"/>
  <c r="H401" i="9"/>
  <c r="I401" i="9"/>
  <c r="J401" i="9"/>
  <c r="H402" i="9"/>
  <c r="I402" i="9"/>
  <c r="J402" i="9"/>
  <c r="H403" i="9"/>
  <c r="I403" i="9"/>
  <c r="J403" i="9"/>
  <c r="H404" i="9"/>
  <c r="I404" i="9"/>
  <c r="J404" i="9"/>
  <c r="H405" i="9"/>
  <c r="I405" i="9"/>
  <c r="J405" i="9"/>
  <c r="H406" i="9"/>
  <c r="I406" i="9"/>
  <c r="J406" i="9"/>
  <c r="H407" i="9"/>
  <c r="I407" i="9"/>
  <c r="J407" i="9"/>
  <c r="H408" i="9"/>
  <c r="I408" i="9"/>
  <c r="J408" i="9"/>
  <c r="H409" i="9"/>
  <c r="I409" i="9"/>
  <c r="J409" i="9"/>
  <c r="H410" i="9"/>
  <c r="I410" i="9"/>
  <c r="J410" i="9"/>
  <c r="H411" i="9"/>
  <c r="I411" i="9"/>
  <c r="J411" i="9"/>
  <c r="H412" i="9"/>
  <c r="I412" i="9"/>
  <c r="J412" i="9"/>
  <c r="H413" i="9"/>
  <c r="I413" i="9"/>
  <c r="J413" i="9"/>
  <c r="H414" i="9"/>
  <c r="I414" i="9"/>
  <c r="J414" i="9"/>
  <c r="H415" i="9"/>
  <c r="I415" i="9"/>
  <c r="J415" i="9"/>
  <c r="H416" i="9"/>
  <c r="I416" i="9"/>
  <c r="J416" i="9"/>
  <c r="H417" i="9"/>
  <c r="I417" i="9"/>
  <c r="J417" i="9"/>
  <c r="H418" i="9"/>
  <c r="I418" i="9"/>
  <c r="J418" i="9"/>
  <c r="H419" i="9"/>
  <c r="I419" i="9"/>
  <c r="J419" i="9"/>
  <c r="H420" i="9"/>
  <c r="I420" i="9"/>
  <c r="J420" i="9"/>
  <c r="H421" i="9"/>
  <c r="I421" i="9"/>
  <c r="J421" i="9"/>
  <c r="H422" i="9"/>
  <c r="I422" i="9"/>
  <c r="J422" i="9"/>
  <c r="H423" i="9"/>
  <c r="I423" i="9"/>
  <c r="J423" i="9"/>
  <c r="H424" i="9"/>
  <c r="I424" i="9"/>
  <c r="J424" i="9"/>
  <c r="H425" i="9"/>
  <c r="I425" i="9"/>
  <c r="J425" i="9"/>
  <c r="H426" i="9"/>
  <c r="I426" i="9"/>
  <c r="J426" i="9"/>
  <c r="H427" i="9"/>
  <c r="I427" i="9"/>
  <c r="J427" i="9"/>
  <c r="H428" i="9"/>
  <c r="I428" i="9"/>
  <c r="J428" i="9"/>
  <c r="H429" i="9"/>
  <c r="I429" i="9"/>
  <c r="J429" i="9"/>
  <c r="H430" i="9"/>
  <c r="I430" i="9"/>
  <c r="J430" i="9"/>
  <c r="H431" i="9"/>
  <c r="I431" i="9"/>
  <c r="J431" i="9"/>
  <c r="H432" i="9"/>
  <c r="I432" i="9"/>
  <c r="J432" i="9"/>
  <c r="H433" i="9"/>
  <c r="I433" i="9"/>
  <c r="J433" i="9"/>
  <c r="H434" i="9"/>
  <c r="I434" i="9"/>
  <c r="J434" i="9"/>
  <c r="H435" i="9"/>
  <c r="I435" i="9"/>
  <c r="J435" i="9"/>
  <c r="H436" i="9"/>
  <c r="I436" i="9"/>
  <c r="J436" i="9"/>
  <c r="H437" i="9"/>
  <c r="I437" i="9"/>
  <c r="J437" i="9"/>
  <c r="H438" i="9"/>
  <c r="I438" i="9"/>
  <c r="J438" i="9"/>
  <c r="H439" i="9"/>
  <c r="I439" i="9"/>
  <c r="J439" i="9"/>
  <c r="H440" i="9"/>
  <c r="I440" i="9"/>
  <c r="J440" i="9"/>
  <c r="H441" i="9"/>
  <c r="I441" i="9"/>
  <c r="J441" i="9"/>
  <c r="H442" i="9"/>
  <c r="I442" i="9"/>
  <c r="J442" i="9"/>
  <c r="H443" i="9"/>
  <c r="I443" i="9"/>
  <c r="J443" i="9"/>
  <c r="H444" i="9"/>
  <c r="I444" i="9"/>
  <c r="J444" i="9"/>
  <c r="H445" i="9"/>
  <c r="I445" i="9"/>
  <c r="J445" i="9"/>
  <c r="H446" i="9"/>
  <c r="I446" i="9"/>
  <c r="J446" i="9"/>
  <c r="H447" i="9"/>
  <c r="I447" i="9"/>
  <c r="J447" i="9"/>
  <c r="H448" i="9"/>
  <c r="I448" i="9"/>
  <c r="J448" i="9"/>
  <c r="H449" i="9"/>
  <c r="I449" i="9"/>
  <c r="J449" i="9"/>
  <c r="H450" i="9"/>
  <c r="I450" i="9"/>
  <c r="J450" i="9"/>
  <c r="H451" i="9"/>
  <c r="I451" i="9"/>
  <c r="J451" i="9"/>
  <c r="H452" i="9"/>
  <c r="I452" i="9"/>
  <c r="J452" i="9"/>
  <c r="H453" i="9"/>
  <c r="I453" i="9"/>
  <c r="J453" i="9"/>
  <c r="H454" i="9"/>
  <c r="I454" i="9"/>
  <c r="J454" i="9"/>
  <c r="H455" i="9"/>
  <c r="I455" i="9"/>
  <c r="J455" i="9"/>
  <c r="H456" i="9"/>
  <c r="I456" i="9"/>
  <c r="J456" i="9"/>
  <c r="H457" i="9"/>
  <c r="I457" i="9"/>
  <c r="J457" i="9"/>
  <c r="H458" i="9"/>
  <c r="I458" i="9"/>
  <c r="J458" i="9"/>
  <c r="H459" i="9"/>
  <c r="I459" i="9"/>
  <c r="J459" i="9"/>
  <c r="H460" i="9"/>
  <c r="I460" i="9"/>
  <c r="J460" i="9"/>
  <c r="H461" i="9"/>
  <c r="I461" i="9"/>
  <c r="J461" i="9"/>
  <c r="H462" i="9"/>
  <c r="I462" i="9"/>
  <c r="J462" i="9"/>
  <c r="H463" i="9"/>
  <c r="I463" i="9"/>
  <c r="J463" i="9"/>
  <c r="H464" i="9"/>
  <c r="I464" i="9"/>
  <c r="J464" i="9"/>
  <c r="H465" i="9"/>
  <c r="I465" i="9"/>
  <c r="J465" i="9"/>
  <c r="H466" i="9"/>
  <c r="I466" i="9"/>
  <c r="J466" i="9"/>
  <c r="H467" i="9"/>
  <c r="I467" i="9"/>
  <c r="J467" i="9"/>
  <c r="H468" i="9"/>
  <c r="I468" i="9"/>
  <c r="J468" i="9"/>
  <c r="H469" i="9"/>
  <c r="I469" i="9"/>
  <c r="J469" i="9"/>
  <c r="H470" i="9"/>
  <c r="I470" i="9"/>
  <c r="J470" i="9"/>
  <c r="H471" i="9"/>
  <c r="I471" i="9"/>
  <c r="J471" i="9"/>
  <c r="H472" i="9"/>
  <c r="I472" i="9"/>
  <c r="J472" i="9"/>
  <c r="H473" i="9"/>
  <c r="I473" i="9"/>
  <c r="J473" i="9"/>
  <c r="H474" i="9"/>
  <c r="I474" i="9"/>
  <c r="J474" i="9"/>
  <c r="H475" i="9"/>
  <c r="I475" i="9"/>
  <c r="J475" i="9"/>
  <c r="H476" i="9"/>
  <c r="I476" i="9"/>
  <c r="J476" i="9"/>
  <c r="H477" i="9"/>
  <c r="I477" i="9"/>
  <c r="J477" i="9"/>
  <c r="H478" i="9"/>
  <c r="I478" i="9"/>
  <c r="J478" i="9"/>
  <c r="H479" i="9"/>
  <c r="I479" i="9"/>
  <c r="J479" i="9"/>
  <c r="H480" i="9"/>
  <c r="I480" i="9"/>
  <c r="J480" i="9"/>
  <c r="H481" i="9"/>
  <c r="I481" i="9"/>
  <c r="J481" i="9"/>
  <c r="H482" i="9"/>
  <c r="I482" i="9"/>
  <c r="J482" i="9"/>
  <c r="H483" i="9"/>
  <c r="I483" i="9"/>
  <c r="J483" i="9"/>
  <c r="H484" i="9"/>
  <c r="I484" i="9"/>
  <c r="J484" i="9"/>
  <c r="H485" i="9"/>
  <c r="I485" i="9"/>
  <c r="J485" i="9"/>
  <c r="H486" i="9"/>
  <c r="I486" i="9"/>
  <c r="J486" i="9"/>
  <c r="H487" i="9"/>
  <c r="I487" i="9"/>
  <c r="J487" i="9"/>
  <c r="H488" i="9"/>
  <c r="I488" i="9"/>
  <c r="J488" i="9"/>
  <c r="H489" i="9"/>
  <c r="I489" i="9"/>
  <c r="J489" i="9"/>
  <c r="H490" i="9"/>
  <c r="I490" i="9"/>
  <c r="J490" i="9"/>
  <c r="H491" i="9"/>
  <c r="I491" i="9"/>
  <c r="J491" i="9"/>
  <c r="H492" i="9"/>
  <c r="I492" i="9"/>
  <c r="J492" i="9"/>
  <c r="H493" i="9"/>
  <c r="I493" i="9"/>
  <c r="J493" i="9"/>
  <c r="H494" i="9"/>
  <c r="I494" i="9"/>
  <c r="J494" i="9"/>
  <c r="H495" i="9"/>
  <c r="I495" i="9"/>
  <c r="J495" i="9"/>
  <c r="H496" i="9"/>
  <c r="I496" i="9"/>
  <c r="J496" i="9"/>
  <c r="H497" i="9"/>
  <c r="I497" i="9"/>
  <c r="J497" i="9"/>
  <c r="H498" i="9"/>
  <c r="I498" i="9"/>
  <c r="J498" i="9"/>
  <c r="H499" i="9"/>
  <c r="I499" i="9"/>
  <c r="J499" i="9"/>
  <c r="H500" i="9"/>
  <c r="I500" i="9"/>
  <c r="J500" i="9"/>
  <c r="H501" i="9"/>
  <c r="I501" i="9"/>
  <c r="J501" i="9"/>
  <c r="H502" i="9"/>
  <c r="I502" i="9"/>
  <c r="J502" i="9"/>
  <c r="H503" i="9"/>
  <c r="I503" i="9"/>
  <c r="J503" i="9"/>
  <c r="H504" i="9"/>
  <c r="I504" i="9"/>
  <c r="J504" i="9"/>
  <c r="H505" i="9"/>
  <c r="I505" i="9"/>
  <c r="J505" i="9"/>
  <c r="H506" i="9"/>
  <c r="I506" i="9"/>
  <c r="J506" i="9"/>
  <c r="H507" i="9"/>
  <c r="I507" i="9"/>
  <c r="J507" i="9"/>
  <c r="H508" i="9"/>
  <c r="I508" i="9"/>
  <c r="J508" i="9"/>
  <c r="H509" i="9"/>
  <c r="I509" i="9"/>
  <c r="J509" i="9"/>
  <c r="H510" i="9"/>
  <c r="I510" i="9"/>
  <c r="J510" i="9"/>
  <c r="H511" i="9"/>
  <c r="I511" i="9"/>
  <c r="J511" i="9"/>
  <c r="H512" i="9"/>
  <c r="I512" i="9"/>
  <c r="J512" i="9"/>
  <c r="H513" i="9"/>
  <c r="I513" i="9"/>
  <c r="J513" i="9"/>
  <c r="H514" i="9"/>
  <c r="I514" i="9"/>
  <c r="J514" i="9"/>
  <c r="H515" i="9"/>
  <c r="I515" i="9"/>
  <c r="J515" i="9"/>
  <c r="H516" i="9"/>
  <c r="I516" i="9"/>
  <c r="J516" i="9"/>
  <c r="H517" i="9"/>
  <c r="I517" i="9"/>
  <c r="J517" i="9"/>
  <c r="H518" i="9"/>
  <c r="I518" i="9"/>
  <c r="J518" i="9"/>
  <c r="H519" i="9"/>
  <c r="I519" i="9"/>
  <c r="J519" i="9"/>
  <c r="H520" i="9"/>
  <c r="I520" i="9"/>
  <c r="J520" i="9"/>
  <c r="H521" i="9"/>
  <c r="I521" i="9"/>
  <c r="J521" i="9"/>
  <c r="H522" i="9"/>
  <c r="I522" i="9"/>
  <c r="J522" i="9"/>
  <c r="H523" i="9"/>
  <c r="I523" i="9"/>
  <c r="J523" i="9"/>
  <c r="H524" i="9"/>
  <c r="I524" i="9"/>
  <c r="J524" i="9"/>
  <c r="H525" i="9"/>
  <c r="I525" i="9"/>
  <c r="J525" i="9"/>
  <c r="H526" i="9"/>
  <c r="I526" i="9"/>
  <c r="J526" i="9"/>
  <c r="H527" i="9"/>
  <c r="I527" i="9"/>
  <c r="J527" i="9"/>
  <c r="H528" i="9"/>
  <c r="I528" i="9"/>
  <c r="J528" i="9"/>
  <c r="H529" i="9"/>
  <c r="I529" i="9"/>
  <c r="J529" i="9"/>
  <c r="H530" i="9"/>
  <c r="I530" i="9"/>
  <c r="J530" i="9"/>
  <c r="H531" i="9"/>
  <c r="I531" i="9"/>
  <c r="J531" i="9"/>
  <c r="H532" i="9"/>
  <c r="I532" i="9"/>
  <c r="J532" i="9"/>
  <c r="H533" i="9"/>
  <c r="I533" i="9"/>
  <c r="J533" i="9"/>
  <c r="H534" i="9"/>
  <c r="I534" i="9"/>
  <c r="J534" i="9"/>
  <c r="H535" i="9"/>
  <c r="I535" i="9"/>
  <c r="J535" i="9"/>
  <c r="H536" i="9"/>
  <c r="I536" i="9"/>
  <c r="J536" i="9"/>
  <c r="H537" i="9"/>
  <c r="I537" i="9"/>
  <c r="J537" i="9"/>
  <c r="H538" i="9"/>
  <c r="I538" i="9"/>
  <c r="J538" i="9"/>
  <c r="H539" i="9"/>
  <c r="I539" i="9"/>
  <c r="J539" i="9"/>
  <c r="H540" i="9"/>
  <c r="I540" i="9"/>
  <c r="J540" i="9"/>
  <c r="H541" i="9"/>
  <c r="I541" i="9"/>
  <c r="J541" i="9"/>
  <c r="H542" i="9"/>
  <c r="I542" i="9"/>
  <c r="J542" i="9"/>
  <c r="H543" i="9"/>
  <c r="I543" i="9"/>
  <c r="J543" i="9"/>
  <c r="H544" i="9"/>
  <c r="I544" i="9"/>
  <c r="J544" i="9"/>
  <c r="H545" i="9"/>
  <c r="I545" i="9"/>
  <c r="J545" i="9"/>
  <c r="H546" i="9"/>
  <c r="I546" i="9"/>
  <c r="J546" i="9"/>
  <c r="H547" i="9"/>
  <c r="I547" i="9"/>
  <c r="J547" i="9"/>
  <c r="H548" i="9"/>
  <c r="I548" i="9"/>
  <c r="J548" i="9"/>
  <c r="H549" i="9"/>
  <c r="I549" i="9"/>
  <c r="J549" i="9"/>
  <c r="H550" i="9"/>
  <c r="I550" i="9"/>
  <c r="J550" i="9"/>
  <c r="H551" i="9"/>
  <c r="I551" i="9"/>
  <c r="J551" i="9"/>
  <c r="H552" i="9"/>
  <c r="I552" i="9"/>
  <c r="J552" i="9"/>
  <c r="H553" i="9"/>
  <c r="I553" i="9"/>
  <c r="J553" i="9"/>
  <c r="H554" i="9"/>
  <c r="I554" i="9"/>
  <c r="J554" i="9"/>
  <c r="H555" i="9"/>
  <c r="I555" i="9"/>
  <c r="J555" i="9"/>
  <c r="H556" i="9"/>
  <c r="I556" i="9"/>
  <c r="J556" i="9"/>
  <c r="H557" i="9"/>
  <c r="I557" i="9"/>
  <c r="J557" i="9"/>
  <c r="H558" i="9"/>
  <c r="I558" i="9"/>
  <c r="J558" i="9"/>
  <c r="H559" i="9"/>
  <c r="I559" i="9"/>
  <c r="J559" i="9"/>
  <c r="H560" i="9"/>
  <c r="I560" i="9"/>
  <c r="J560" i="9"/>
  <c r="H561" i="9"/>
  <c r="I561" i="9"/>
  <c r="J561" i="9"/>
  <c r="H562" i="9"/>
  <c r="I562" i="9"/>
  <c r="J562" i="9"/>
  <c r="H563" i="9"/>
  <c r="I563" i="9"/>
  <c r="J563" i="9"/>
  <c r="H564" i="9"/>
  <c r="I564" i="9"/>
  <c r="J564" i="9"/>
  <c r="H565" i="9"/>
  <c r="I565" i="9"/>
  <c r="J565" i="9"/>
  <c r="H566" i="9"/>
  <c r="I566" i="9"/>
  <c r="J566" i="9"/>
  <c r="H567" i="9"/>
  <c r="I567" i="9"/>
  <c r="J567" i="9"/>
  <c r="H568" i="9"/>
  <c r="I568" i="9"/>
  <c r="J568" i="9"/>
  <c r="H569" i="9"/>
  <c r="I569" i="9"/>
  <c r="J569" i="9"/>
  <c r="H570" i="9"/>
  <c r="I570" i="9"/>
  <c r="J570" i="9"/>
  <c r="H571" i="9"/>
  <c r="I571" i="9"/>
  <c r="J571" i="9"/>
  <c r="H572" i="9"/>
  <c r="I572" i="9"/>
  <c r="J572" i="9"/>
  <c r="H573" i="9"/>
  <c r="I573" i="9"/>
  <c r="J573" i="9"/>
  <c r="H574" i="9"/>
  <c r="I574" i="9"/>
  <c r="J574" i="9"/>
  <c r="H575" i="9"/>
  <c r="I575" i="9"/>
  <c r="J575" i="9"/>
  <c r="H576" i="9"/>
  <c r="I576" i="9"/>
  <c r="J576" i="9"/>
  <c r="H577" i="9"/>
  <c r="I577" i="9"/>
  <c r="J577" i="9"/>
  <c r="H578" i="9"/>
  <c r="I578" i="9"/>
  <c r="J578" i="9"/>
  <c r="H579" i="9"/>
  <c r="I579" i="9"/>
  <c r="J579" i="9"/>
  <c r="H580" i="9"/>
  <c r="I580" i="9"/>
  <c r="J580" i="9"/>
  <c r="H581" i="9"/>
  <c r="I581" i="9"/>
  <c r="J581" i="9"/>
  <c r="H582" i="9"/>
  <c r="I582" i="9"/>
  <c r="J582" i="9"/>
  <c r="H583" i="9"/>
  <c r="I583" i="9"/>
  <c r="J583" i="9"/>
  <c r="H584" i="9"/>
  <c r="I584" i="9"/>
  <c r="J584" i="9"/>
  <c r="H585" i="9"/>
  <c r="I585" i="9"/>
  <c r="J585" i="9"/>
  <c r="H586" i="9"/>
  <c r="I586" i="9"/>
  <c r="J586" i="9"/>
  <c r="H587" i="9"/>
  <c r="I587" i="9"/>
  <c r="J587" i="9"/>
  <c r="H588" i="9"/>
  <c r="I588" i="9"/>
  <c r="J588" i="9"/>
  <c r="H589" i="9"/>
  <c r="I589" i="9"/>
  <c r="J589" i="9"/>
  <c r="H590" i="9"/>
  <c r="I590" i="9"/>
  <c r="J590" i="9"/>
  <c r="H591" i="9"/>
  <c r="I591" i="9"/>
  <c r="J591" i="9"/>
  <c r="H592" i="9"/>
  <c r="I592" i="9"/>
  <c r="J592" i="9"/>
  <c r="H593" i="9"/>
  <c r="I593" i="9"/>
  <c r="J593" i="9"/>
  <c r="H594" i="9"/>
  <c r="I594" i="9"/>
  <c r="J594" i="9"/>
  <c r="H595" i="9"/>
  <c r="I595" i="9"/>
  <c r="J595" i="9"/>
  <c r="H596" i="9"/>
  <c r="I596" i="9"/>
  <c r="J596" i="9"/>
  <c r="H597" i="9"/>
  <c r="I597" i="9"/>
  <c r="J597" i="9"/>
  <c r="H598" i="9"/>
  <c r="I598" i="9"/>
  <c r="J598" i="9"/>
  <c r="H599" i="9"/>
  <c r="I599" i="9"/>
  <c r="J599" i="9"/>
  <c r="H600" i="9"/>
  <c r="I600" i="9"/>
  <c r="J600" i="9"/>
  <c r="H601" i="9"/>
  <c r="I601" i="9"/>
  <c r="J601" i="9"/>
  <c r="H602" i="9"/>
  <c r="I602" i="9"/>
  <c r="J602" i="9"/>
  <c r="H603" i="9"/>
  <c r="I603" i="9"/>
  <c r="J603" i="9"/>
  <c r="H604" i="9"/>
  <c r="I604" i="9"/>
  <c r="J604" i="9"/>
  <c r="H605" i="9"/>
  <c r="I605" i="9"/>
  <c r="J605" i="9"/>
  <c r="H606" i="9"/>
  <c r="I606" i="9"/>
  <c r="J606" i="9"/>
  <c r="H607" i="9"/>
  <c r="I607" i="9"/>
  <c r="J607" i="9"/>
  <c r="H608" i="9"/>
  <c r="I608" i="9"/>
  <c r="J608" i="9"/>
  <c r="H609" i="9"/>
  <c r="I609" i="9"/>
  <c r="J609" i="9"/>
  <c r="H610" i="9"/>
  <c r="I610" i="9"/>
  <c r="J610" i="9"/>
  <c r="H611" i="9"/>
  <c r="I611" i="9"/>
  <c r="J611" i="9"/>
  <c r="H612" i="9"/>
  <c r="I612" i="9"/>
  <c r="J612" i="9"/>
  <c r="H613" i="9"/>
  <c r="I613" i="9"/>
  <c r="J613" i="9"/>
  <c r="H614" i="9"/>
  <c r="I614" i="9"/>
  <c r="J614" i="9"/>
  <c r="H615" i="9"/>
  <c r="I615" i="9"/>
  <c r="J615" i="9"/>
  <c r="H616" i="9"/>
  <c r="I616" i="9"/>
  <c r="J616" i="9"/>
  <c r="H617" i="9"/>
  <c r="I617" i="9"/>
  <c r="J617" i="9"/>
  <c r="H618" i="9"/>
  <c r="I618" i="9"/>
  <c r="J618" i="9"/>
  <c r="H619" i="9"/>
  <c r="I619" i="9"/>
  <c r="J619" i="9"/>
  <c r="H620" i="9"/>
  <c r="I620" i="9"/>
  <c r="J620" i="9"/>
  <c r="H621" i="9"/>
  <c r="I621" i="9"/>
  <c r="J621" i="9"/>
  <c r="H622" i="9"/>
  <c r="I622" i="9"/>
  <c r="J622" i="9"/>
  <c r="H623" i="9"/>
  <c r="I623" i="9"/>
  <c r="J623" i="9"/>
  <c r="H624" i="9"/>
  <c r="I624" i="9"/>
  <c r="J624" i="9"/>
  <c r="H625" i="9"/>
  <c r="I625" i="9"/>
  <c r="J625" i="9"/>
  <c r="H626" i="9"/>
  <c r="I626" i="9"/>
  <c r="J626" i="9"/>
  <c r="H627" i="9"/>
  <c r="I627" i="9"/>
  <c r="J627" i="9"/>
  <c r="H628" i="9"/>
  <c r="I628" i="9"/>
  <c r="J628" i="9"/>
  <c r="H629" i="9"/>
  <c r="I629" i="9"/>
  <c r="J629" i="9"/>
  <c r="H630" i="9"/>
  <c r="I630" i="9"/>
  <c r="J630" i="9"/>
  <c r="H631" i="9"/>
  <c r="I631" i="9"/>
  <c r="J631" i="9"/>
  <c r="H632" i="9"/>
  <c r="I632" i="9"/>
  <c r="J632" i="9"/>
  <c r="H633" i="9"/>
  <c r="I633" i="9"/>
  <c r="J633" i="9"/>
  <c r="H634" i="9"/>
  <c r="I634" i="9"/>
  <c r="J634" i="9"/>
  <c r="H635" i="9"/>
  <c r="I635" i="9"/>
  <c r="J635" i="9"/>
  <c r="H636" i="9"/>
  <c r="I636" i="9"/>
  <c r="J636" i="9"/>
  <c r="H637" i="9"/>
  <c r="I637" i="9"/>
  <c r="J637" i="9"/>
  <c r="H638" i="9"/>
  <c r="I638" i="9"/>
  <c r="J638" i="9"/>
  <c r="H639" i="9"/>
  <c r="I639" i="9"/>
  <c r="J639" i="9"/>
  <c r="H640" i="9"/>
  <c r="I640" i="9"/>
  <c r="J640" i="9"/>
  <c r="H641" i="9"/>
  <c r="I641" i="9"/>
  <c r="J641" i="9"/>
  <c r="H642" i="9"/>
  <c r="I642" i="9"/>
  <c r="J642" i="9"/>
  <c r="H643" i="9"/>
  <c r="I643" i="9"/>
  <c r="J643" i="9"/>
  <c r="H644" i="9"/>
  <c r="I644" i="9"/>
  <c r="J644" i="9"/>
  <c r="H645" i="9"/>
  <c r="I645" i="9"/>
  <c r="J645" i="9"/>
  <c r="H646" i="9"/>
  <c r="I646" i="9"/>
  <c r="J646" i="9"/>
  <c r="H647" i="9"/>
  <c r="I647" i="9"/>
  <c r="J647" i="9"/>
  <c r="H648" i="9"/>
  <c r="I648" i="9"/>
  <c r="J648" i="9"/>
  <c r="H649" i="9"/>
  <c r="I649" i="9"/>
  <c r="J649" i="9"/>
  <c r="H650" i="9"/>
  <c r="I650" i="9"/>
  <c r="J650" i="9"/>
  <c r="H651" i="9"/>
  <c r="I651" i="9"/>
  <c r="J651" i="9"/>
  <c r="H652" i="9"/>
  <c r="I652" i="9"/>
  <c r="J652" i="9"/>
  <c r="H653" i="9"/>
  <c r="I653" i="9"/>
  <c r="J653" i="9"/>
  <c r="H654" i="9"/>
  <c r="I654" i="9"/>
  <c r="J654" i="9"/>
  <c r="H655" i="9"/>
  <c r="I655" i="9"/>
  <c r="J655" i="9"/>
  <c r="H656" i="9"/>
  <c r="I656" i="9"/>
  <c r="J656" i="9"/>
  <c r="H657" i="9"/>
  <c r="I657" i="9"/>
  <c r="J657" i="9"/>
  <c r="H658" i="9"/>
  <c r="I658" i="9"/>
  <c r="J658" i="9"/>
  <c r="H659" i="9"/>
  <c r="I659" i="9"/>
  <c r="J659" i="9"/>
  <c r="H660" i="9"/>
  <c r="I660" i="9"/>
  <c r="J660" i="9"/>
  <c r="H661" i="9"/>
  <c r="I661" i="9"/>
  <c r="J661" i="9"/>
  <c r="H662" i="9"/>
  <c r="I662" i="9"/>
  <c r="J662" i="9"/>
  <c r="H663" i="9"/>
  <c r="I663" i="9"/>
  <c r="J663" i="9"/>
  <c r="H664" i="9"/>
  <c r="I664" i="9"/>
  <c r="J664" i="9"/>
  <c r="H665" i="9"/>
  <c r="I665" i="9"/>
  <c r="J665" i="9"/>
  <c r="H666" i="9"/>
  <c r="I666" i="9"/>
  <c r="J666" i="9"/>
  <c r="H667" i="9"/>
  <c r="I667" i="9"/>
  <c r="J667" i="9"/>
  <c r="H668" i="9"/>
  <c r="I668" i="9"/>
  <c r="J668" i="9"/>
  <c r="H669" i="9"/>
  <c r="I669" i="9"/>
  <c r="J669" i="9"/>
  <c r="H670" i="9"/>
  <c r="I670" i="9"/>
  <c r="J670" i="9"/>
  <c r="H671" i="9"/>
  <c r="I671" i="9"/>
  <c r="J671" i="9"/>
  <c r="H672" i="9"/>
  <c r="I672" i="9"/>
  <c r="J672" i="9"/>
  <c r="H673" i="9"/>
  <c r="I673" i="9"/>
  <c r="J673" i="9"/>
  <c r="H674" i="9"/>
  <c r="I674" i="9"/>
  <c r="J674" i="9"/>
  <c r="H675" i="9"/>
  <c r="I675" i="9"/>
  <c r="J675" i="9"/>
  <c r="H676" i="9"/>
  <c r="I676" i="9"/>
  <c r="J676" i="9"/>
  <c r="H677" i="9"/>
  <c r="I677" i="9"/>
  <c r="J677" i="9"/>
  <c r="H678" i="9"/>
  <c r="I678" i="9"/>
  <c r="J678" i="9"/>
  <c r="H679" i="9"/>
  <c r="I679" i="9"/>
  <c r="J679" i="9"/>
  <c r="H680" i="9"/>
  <c r="I680" i="9"/>
  <c r="J680" i="9"/>
  <c r="H681" i="9"/>
  <c r="I681" i="9"/>
  <c r="J681" i="9"/>
  <c r="H682" i="9"/>
  <c r="I682" i="9"/>
  <c r="J682" i="9"/>
  <c r="H683" i="9"/>
  <c r="I683" i="9"/>
  <c r="J683" i="9"/>
  <c r="H684" i="9"/>
  <c r="I684" i="9"/>
  <c r="J684" i="9"/>
  <c r="H685" i="9"/>
  <c r="I685" i="9"/>
  <c r="J685" i="9"/>
  <c r="H686" i="9"/>
  <c r="I686" i="9"/>
  <c r="J686" i="9"/>
  <c r="H687" i="9"/>
  <c r="I687" i="9"/>
  <c r="J687" i="9"/>
  <c r="H688" i="9"/>
  <c r="I688" i="9"/>
  <c r="J688" i="9"/>
  <c r="H689" i="9"/>
  <c r="I689" i="9"/>
  <c r="J689" i="9"/>
  <c r="H690" i="9"/>
  <c r="I690" i="9"/>
  <c r="J690" i="9"/>
  <c r="H691" i="9"/>
  <c r="I691" i="9"/>
  <c r="J691" i="9"/>
  <c r="H692" i="9"/>
  <c r="I692" i="9"/>
  <c r="J692" i="9"/>
  <c r="H693" i="9"/>
  <c r="I693" i="9"/>
  <c r="J693" i="9"/>
  <c r="H694" i="9"/>
  <c r="I694" i="9"/>
  <c r="J694" i="9"/>
  <c r="H695" i="9"/>
  <c r="I695" i="9"/>
  <c r="J695" i="9"/>
  <c r="H696" i="9"/>
  <c r="I696" i="9"/>
  <c r="J696" i="9"/>
  <c r="H697" i="9"/>
  <c r="I697" i="9"/>
  <c r="J697" i="9"/>
  <c r="H698" i="9"/>
  <c r="I698" i="9"/>
  <c r="J698" i="9"/>
  <c r="H699" i="9"/>
  <c r="I699" i="9"/>
  <c r="J699" i="9"/>
  <c r="H700" i="9"/>
  <c r="I700" i="9"/>
  <c r="J700" i="9"/>
  <c r="H701" i="9"/>
  <c r="I701" i="9"/>
  <c r="J701" i="9"/>
  <c r="H702" i="9"/>
  <c r="I702" i="9"/>
  <c r="J702" i="9"/>
  <c r="H703" i="9"/>
  <c r="I703" i="9"/>
  <c r="J703" i="9"/>
  <c r="H704" i="9"/>
  <c r="I704" i="9"/>
  <c r="J704" i="9"/>
  <c r="H705" i="9"/>
  <c r="I705" i="9"/>
  <c r="J705" i="9"/>
  <c r="H706" i="9"/>
  <c r="I706" i="9"/>
  <c r="J706" i="9"/>
  <c r="H707" i="9"/>
  <c r="I707" i="9"/>
  <c r="J707" i="9"/>
  <c r="H708" i="9"/>
  <c r="I708" i="9"/>
  <c r="J708" i="9"/>
  <c r="H709" i="9"/>
  <c r="I709" i="9"/>
  <c r="J709" i="9"/>
  <c r="H710" i="9"/>
  <c r="I710" i="9"/>
  <c r="J710" i="9"/>
  <c r="H711" i="9"/>
  <c r="I711" i="9"/>
  <c r="J711" i="9"/>
  <c r="H712" i="9"/>
  <c r="I712" i="9"/>
  <c r="J712" i="9"/>
  <c r="H713" i="9"/>
  <c r="I713" i="9"/>
  <c r="J713" i="9"/>
  <c r="H714" i="9"/>
  <c r="I714" i="9"/>
  <c r="J714" i="9"/>
  <c r="H715" i="9"/>
  <c r="I715" i="9"/>
  <c r="J715" i="9"/>
  <c r="H716" i="9"/>
  <c r="I716" i="9"/>
  <c r="J716" i="9"/>
  <c r="H717" i="9"/>
  <c r="I717" i="9"/>
  <c r="J717" i="9"/>
  <c r="H718" i="9"/>
  <c r="I718" i="9"/>
  <c r="J718" i="9"/>
  <c r="H719" i="9"/>
  <c r="I719" i="9"/>
  <c r="J719" i="9"/>
  <c r="H720" i="9"/>
  <c r="I720" i="9"/>
  <c r="J720" i="9"/>
  <c r="H721" i="9"/>
  <c r="I721" i="9"/>
  <c r="J721" i="9"/>
  <c r="H722" i="9"/>
  <c r="I722" i="9"/>
  <c r="J722" i="9"/>
  <c r="H723" i="9"/>
  <c r="I723" i="9"/>
  <c r="J723" i="9"/>
  <c r="H724" i="9"/>
  <c r="I724" i="9"/>
  <c r="J724" i="9"/>
  <c r="H725" i="9"/>
  <c r="I725" i="9"/>
  <c r="J725" i="9"/>
  <c r="H726" i="9"/>
  <c r="I726" i="9"/>
  <c r="J726" i="9"/>
  <c r="H727" i="9"/>
  <c r="I727" i="9"/>
  <c r="J727" i="9"/>
  <c r="H728" i="9"/>
  <c r="I728" i="9"/>
  <c r="J728" i="9"/>
  <c r="H729" i="9"/>
  <c r="I729" i="9"/>
  <c r="J729" i="9"/>
  <c r="H730" i="9"/>
  <c r="I730" i="9"/>
  <c r="J730" i="9"/>
  <c r="H731" i="9"/>
  <c r="I731" i="9"/>
  <c r="J731" i="9"/>
  <c r="H732" i="9"/>
  <c r="I732" i="9"/>
  <c r="J732" i="9"/>
  <c r="H733" i="9"/>
  <c r="I733" i="9"/>
  <c r="J733" i="9"/>
  <c r="H734" i="9"/>
  <c r="I734" i="9"/>
  <c r="J734" i="9"/>
  <c r="H735" i="9"/>
  <c r="I735" i="9"/>
  <c r="J735" i="9"/>
  <c r="H736" i="9"/>
  <c r="I736" i="9"/>
  <c r="J736" i="9"/>
  <c r="H737" i="9"/>
  <c r="I737" i="9"/>
  <c r="J737" i="9"/>
  <c r="H738" i="9"/>
  <c r="I738" i="9"/>
  <c r="J738" i="9"/>
  <c r="H739" i="9"/>
  <c r="I739" i="9"/>
  <c r="J739" i="9"/>
  <c r="H740" i="9"/>
  <c r="I740" i="9"/>
  <c r="J740" i="9"/>
  <c r="H741" i="9"/>
  <c r="I741" i="9"/>
  <c r="J741" i="9"/>
  <c r="H742" i="9"/>
  <c r="I742" i="9"/>
  <c r="J742" i="9"/>
  <c r="H743" i="9"/>
  <c r="I743" i="9"/>
  <c r="J743" i="9"/>
  <c r="H744" i="9"/>
  <c r="I744" i="9"/>
  <c r="J744" i="9"/>
  <c r="H745" i="9"/>
  <c r="I745" i="9"/>
  <c r="J745" i="9"/>
  <c r="H746" i="9"/>
  <c r="I746" i="9"/>
  <c r="J746" i="9"/>
  <c r="H747" i="9"/>
  <c r="I747" i="9"/>
  <c r="J747" i="9"/>
  <c r="H748" i="9"/>
  <c r="I748" i="9"/>
  <c r="J748" i="9"/>
  <c r="H749" i="9"/>
  <c r="I749" i="9"/>
  <c r="J749" i="9"/>
  <c r="H750" i="9"/>
  <c r="I750" i="9"/>
  <c r="J750" i="9"/>
  <c r="H751" i="9"/>
  <c r="I751" i="9"/>
  <c r="J751" i="9"/>
  <c r="H752" i="9"/>
  <c r="I752" i="9"/>
  <c r="J752" i="9"/>
  <c r="H753" i="9"/>
  <c r="I753" i="9"/>
  <c r="J753" i="9"/>
  <c r="H754" i="9"/>
  <c r="I754" i="9"/>
  <c r="J754" i="9"/>
  <c r="H755" i="9"/>
  <c r="I755" i="9"/>
  <c r="J755" i="9"/>
  <c r="H756" i="9"/>
  <c r="I756" i="9"/>
  <c r="J756" i="9"/>
  <c r="H757" i="9"/>
  <c r="I757" i="9"/>
  <c r="J757" i="9"/>
  <c r="H758" i="9"/>
  <c r="I758" i="9"/>
  <c r="J758" i="9"/>
  <c r="H759" i="9"/>
  <c r="I759" i="9"/>
  <c r="J759" i="9"/>
  <c r="H760" i="9"/>
  <c r="I760" i="9"/>
  <c r="J760" i="9"/>
  <c r="H761" i="9"/>
  <c r="I761" i="9"/>
  <c r="J761" i="9"/>
  <c r="H762" i="9"/>
  <c r="I762" i="9"/>
  <c r="J762" i="9"/>
  <c r="H763" i="9"/>
  <c r="I763" i="9"/>
  <c r="J763" i="9"/>
  <c r="H764" i="9"/>
  <c r="I764" i="9"/>
  <c r="J764" i="9"/>
  <c r="H765" i="9"/>
  <c r="I765" i="9"/>
  <c r="J765" i="9"/>
  <c r="H766" i="9"/>
  <c r="I766" i="9"/>
  <c r="J766" i="9"/>
  <c r="H767" i="9"/>
  <c r="I767" i="9"/>
  <c r="J767" i="9"/>
  <c r="H768" i="9"/>
  <c r="I768" i="9"/>
  <c r="J768" i="9"/>
  <c r="H769" i="9"/>
  <c r="I769" i="9"/>
  <c r="J769" i="9"/>
  <c r="H770" i="9"/>
  <c r="I770" i="9"/>
  <c r="J770" i="9"/>
  <c r="H771" i="9"/>
  <c r="I771" i="9"/>
  <c r="J771" i="9"/>
  <c r="H772" i="9"/>
  <c r="I772" i="9"/>
  <c r="J772" i="9"/>
  <c r="H773" i="9"/>
  <c r="I773" i="9"/>
  <c r="J773" i="9"/>
  <c r="H774" i="9"/>
  <c r="I774" i="9"/>
  <c r="J774" i="9"/>
  <c r="H775" i="9"/>
  <c r="I775" i="9"/>
  <c r="J775" i="9"/>
  <c r="H776" i="9"/>
  <c r="I776" i="9"/>
  <c r="J776" i="9"/>
  <c r="H777" i="9"/>
  <c r="I777" i="9"/>
  <c r="J777" i="9"/>
  <c r="H36" i="9"/>
  <c r="I36" i="9"/>
  <c r="J36" i="9"/>
  <c r="H37" i="9"/>
  <c r="I37" i="9"/>
  <c r="J37" i="9"/>
  <c r="H38" i="9"/>
  <c r="I38" i="9"/>
  <c r="J38" i="9"/>
  <c r="H39" i="9"/>
  <c r="I39" i="9"/>
  <c r="J39" i="9"/>
  <c r="H40" i="9"/>
  <c r="I40" i="9"/>
  <c r="J40" i="9"/>
  <c r="H41" i="9"/>
  <c r="I41" i="9"/>
  <c r="J41" i="9"/>
  <c r="H7" i="9"/>
  <c r="I7" i="9"/>
  <c r="J7" i="9"/>
  <c r="H8" i="9"/>
  <c r="I8" i="9"/>
  <c r="J8" i="9"/>
  <c r="H9" i="9"/>
  <c r="I9" i="9"/>
  <c r="J9" i="9"/>
  <c r="H10" i="9"/>
  <c r="I10" i="9"/>
  <c r="J10" i="9"/>
  <c r="H11" i="9"/>
  <c r="I11" i="9"/>
  <c r="J11" i="9"/>
  <c r="H12" i="9"/>
  <c r="I12" i="9"/>
  <c r="J12" i="9"/>
  <c r="H13" i="9"/>
  <c r="I13" i="9"/>
  <c r="J13" i="9"/>
  <c r="H14" i="9"/>
  <c r="I14" i="9"/>
  <c r="J14" i="9"/>
  <c r="H15" i="9"/>
  <c r="I15" i="9"/>
  <c r="J15" i="9"/>
  <c r="H16" i="9"/>
  <c r="I16" i="9"/>
  <c r="J16" i="9"/>
  <c r="H17" i="9"/>
  <c r="I17" i="9"/>
  <c r="J17" i="9"/>
  <c r="H18" i="9"/>
  <c r="I18" i="9"/>
  <c r="J18" i="9"/>
  <c r="H19" i="9"/>
  <c r="I19" i="9"/>
  <c r="J19" i="9"/>
  <c r="H20" i="9"/>
  <c r="I20" i="9"/>
  <c r="J20" i="9"/>
  <c r="H21" i="9"/>
  <c r="I21" i="9"/>
  <c r="J21" i="9"/>
  <c r="H22" i="9"/>
  <c r="I22" i="9"/>
  <c r="J22" i="9"/>
  <c r="H23" i="9"/>
  <c r="I23" i="9"/>
  <c r="J23" i="9"/>
  <c r="H24" i="9"/>
  <c r="I24" i="9"/>
  <c r="J24" i="9"/>
  <c r="H25" i="9"/>
  <c r="I25" i="9"/>
  <c r="J25" i="9"/>
  <c r="H26" i="9"/>
  <c r="I26" i="9"/>
  <c r="J26" i="9"/>
  <c r="H27" i="9"/>
  <c r="I27" i="9"/>
  <c r="J27" i="9"/>
  <c r="H28" i="9"/>
  <c r="I28" i="9"/>
  <c r="J28" i="9"/>
  <c r="H29" i="9"/>
  <c r="I29" i="9"/>
  <c r="J29" i="9"/>
  <c r="H30" i="9"/>
  <c r="I30" i="9"/>
  <c r="J30" i="9"/>
  <c r="H31" i="9"/>
  <c r="I31" i="9"/>
  <c r="J31" i="9"/>
  <c r="H32" i="9"/>
  <c r="I32" i="9"/>
  <c r="J32" i="9"/>
  <c r="H33" i="9"/>
  <c r="I33" i="9"/>
  <c r="J33" i="9"/>
  <c r="H34" i="9"/>
  <c r="I34" i="9"/>
  <c r="J34" i="9"/>
  <c r="H35" i="9"/>
  <c r="I35" i="9"/>
  <c r="J35" i="9"/>
  <c r="H6" i="9"/>
  <c r="BH20" i="1" l="1"/>
  <c r="Y31" i="1"/>
  <c r="Y39" i="1"/>
  <c r="Y37" i="1"/>
  <c r="Y35" i="1"/>
  <c r="Y42" i="1"/>
  <c r="Y32" i="1"/>
  <c r="AD43" i="1"/>
  <c r="AJ43" i="1"/>
  <c r="AG43" i="1"/>
  <c r="AM23" i="1"/>
  <c r="AQ23" i="1" s="1"/>
  <c r="BH23" i="1" s="1"/>
  <c r="AR23" i="1"/>
  <c r="Y40" i="1"/>
  <c r="Y34" i="1"/>
  <c r="AD28" i="1"/>
  <c r="AG28" i="1"/>
  <c r="AQ28" i="1"/>
  <c r="BH28" i="1" s="1"/>
  <c r="AJ28" i="1"/>
  <c r="Y24" i="1"/>
  <c r="Y22" i="1"/>
  <c r="Y21" i="1"/>
  <c r="Y36" i="1"/>
  <c r="Y41" i="1"/>
  <c r="AM25" i="1"/>
  <c r="AQ25" i="1" s="1"/>
  <c r="Y28" i="1"/>
  <c r="AM43" i="1"/>
  <c r="AD23" i="1"/>
  <c r="AG23" i="1"/>
  <c r="AJ23" i="1"/>
  <c r="Y30" i="1"/>
  <c r="Y26" i="1"/>
  <c r="Y29" i="1"/>
  <c r="Y38" i="1"/>
  <c r="AD25" i="1"/>
  <c r="AG25" i="1"/>
  <c r="AQ43" i="1"/>
  <c r="BH43" i="1" s="1"/>
  <c r="AR43" i="1"/>
  <c r="AR18" i="10"/>
  <c r="AR19" i="10"/>
  <c r="AR20" i="10"/>
  <c r="AR21" i="10"/>
  <c r="AR22" i="10"/>
  <c r="AR23" i="10"/>
  <c r="AR24" i="10"/>
  <c r="AR25" i="10"/>
  <c r="AR26" i="10"/>
  <c r="AR27" i="10"/>
  <c r="AR28" i="10"/>
  <c r="AR29" i="10"/>
  <c r="AR30" i="10"/>
  <c r="AR31" i="10"/>
  <c r="AR32" i="10"/>
  <c r="AR33" i="10"/>
  <c r="AR34" i="10"/>
  <c r="AR35" i="10"/>
  <c r="AR36" i="10"/>
  <c r="AR37" i="10"/>
  <c r="AR38" i="10"/>
  <c r="AR39" i="10"/>
  <c r="AR40" i="10"/>
  <c r="AR41" i="10"/>
  <c r="AR42" i="10"/>
  <c r="AR43" i="10"/>
  <c r="AR17" i="10"/>
  <c r="AQ18" i="10"/>
  <c r="AQ19" i="10"/>
  <c r="AQ20" i="10"/>
  <c r="AQ21" i="10"/>
  <c r="AQ22" i="10"/>
  <c r="AQ23" i="10"/>
  <c r="AQ24" i="10"/>
  <c r="AQ25" i="10"/>
  <c r="AQ26" i="10"/>
  <c r="AQ27" i="10"/>
  <c r="AQ28" i="10"/>
  <c r="AQ29" i="10"/>
  <c r="AQ30" i="10"/>
  <c r="AQ31" i="10"/>
  <c r="AQ32" i="10"/>
  <c r="AQ33" i="10"/>
  <c r="AQ34" i="10"/>
  <c r="AQ35" i="10"/>
  <c r="AQ36" i="10"/>
  <c r="AQ37" i="10"/>
  <c r="AQ38" i="10"/>
  <c r="AQ39" i="10"/>
  <c r="AQ40" i="10"/>
  <c r="AQ41" i="10"/>
  <c r="AQ42" i="10"/>
  <c r="AQ43" i="10"/>
  <c r="AQ17" i="10"/>
  <c r="AM18" i="10"/>
  <c r="AP18" i="10" s="1"/>
  <c r="AM19" i="10"/>
  <c r="AP19" i="10" s="1"/>
  <c r="AM20" i="10"/>
  <c r="AP20" i="10" s="1"/>
  <c r="AM21" i="10"/>
  <c r="AP21" i="10" s="1"/>
  <c r="AM22" i="10"/>
  <c r="AP22" i="10" s="1"/>
  <c r="AM23" i="10"/>
  <c r="AP23" i="10" s="1"/>
  <c r="AM24" i="10"/>
  <c r="AP24" i="10" s="1"/>
  <c r="AM25" i="10"/>
  <c r="AP25" i="10" s="1"/>
  <c r="AM26" i="10"/>
  <c r="AP26" i="10" s="1"/>
  <c r="AM27" i="10"/>
  <c r="AP27" i="10" s="1"/>
  <c r="AM28" i="10"/>
  <c r="AP28" i="10" s="1"/>
  <c r="AM29" i="10"/>
  <c r="AP29" i="10" s="1"/>
  <c r="AM30" i="10"/>
  <c r="AP30" i="10" s="1"/>
  <c r="AM31" i="10"/>
  <c r="AP31" i="10" s="1"/>
  <c r="AM32" i="10"/>
  <c r="AP32" i="10" s="1"/>
  <c r="AM33" i="10"/>
  <c r="AP33" i="10" s="1"/>
  <c r="AM34" i="10"/>
  <c r="AP34" i="10" s="1"/>
  <c r="AM35" i="10"/>
  <c r="AP35" i="10" s="1"/>
  <c r="AM36" i="10"/>
  <c r="AP36" i="10" s="1"/>
  <c r="AM37" i="10"/>
  <c r="AP37" i="10" s="1"/>
  <c r="AM38" i="10"/>
  <c r="AP38" i="10" s="1"/>
  <c r="AM39" i="10"/>
  <c r="AP39" i="10" s="1"/>
  <c r="AM40" i="10"/>
  <c r="AP40" i="10" s="1"/>
  <c r="AM41" i="10"/>
  <c r="AP41" i="10" s="1"/>
  <c r="AM42" i="10"/>
  <c r="AP42" i="10" s="1"/>
  <c r="AM43" i="10"/>
  <c r="AP43" i="10" s="1"/>
  <c r="AM17" i="10"/>
  <c r="AP17" i="10" s="1"/>
  <c r="Y23" i="1" l="1"/>
  <c r="BH25" i="1"/>
  <c r="Y25" i="1"/>
  <c r="Y43" i="1"/>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88" i="10"/>
  <c r="M89" i="10"/>
  <c r="N89" i="10"/>
  <c r="O89" i="10"/>
  <c r="P89" i="10"/>
  <c r="Q89" i="10"/>
  <c r="R89" i="10"/>
  <c r="S89" i="10"/>
  <c r="T89" i="10"/>
  <c r="U89" i="10"/>
  <c r="V89" i="10"/>
  <c r="W89" i="10"/>
  <c r="Y89" i="10"/>
  <c r="Z89" i="10"/>
  <c r="M90" i="10"/>
  <c r="N90" i="10"/>
  <c r="O90" i="10"/>
  <c r="P90" i="10"/>
  <c r="Q90" i="10"/>
  <c r="R90" i="10"/>
  <c r="S90" i="10"/>
  <c r="T90" i="10"/>
  <c r="U90" i="10"/>
  <c r="V90" i="10"/>
  <c r="W90" i="10"/>
  <c r="Y90" i="10"/>
  <c r="Z90" i="10"/>
  <c r="M91" i="10"/>
  <c r="N91" i="10"/>
  <c r="O91" i="10"/>
  <c r="P91" i="10"/>
  <c r="Q91" i="10"/>
  <c r="R91" i="10"/>
  <c r="S91" i="10"/>
  <c r="T91" i="10"/>
  <c r="U91" i="10"/>
  <c r="V91" i="10"/>
  <c r="W91" i="10"/>
  <c r="Y91" i="10"/>
  <c r="Z91" i="10"/>
  <c r="M92" i="10"/>
  <c r="N92" i="10"/>
  <c r="O92" i="10"/>
  <c r="P92" i="10"/>
  <c r="Q92" i="10"/>
  <c r="R92" i="10"/>
  <c r="S92" i="10"/>
  <c r="T92" i="10"/>
  <c r="U92" i="10"/>
  <c r="V92" i="10"/>
  <c r="W92" i="10"/>
  <c r="Y92" i="10"/>
  <c r="Z92" i="10"/>
  <c r="M93" i="10"/>
  <c r="N93" i="10"/>
  <c r="O93" i="10"/>
  <c r="P93" i="10"/>
  <c r="Q93" i="10"/>
  <c r="R93" i="10"/>
  <c r="S93" i="10"/>
  <c r="T93" i="10"/>
  <c r="U93" i="10"/>
  <c r="V93" i="10"/>
  <c r="W93" i="10"/>
  <c r="Y93" i="10"/>
  <c r="Z93" i="10"/>
  <c r="M94" i="10"/>
  <c r="N94" i="10"/>
  <c r="O94" i="10"/>
  <c r="P94" i="10"/>
  <c r="Q94" i="10"/>
  <c r="R94" i="10"/>
  <c r="S94" i="10"/>
  <c r="T94" i="10"/>
  <c r="U94" i="10"/>
  <c r="V94" i="10"/>
  <c r="W94" i="10"/>
  <c r="Y94" i="10"/>
  <c r="Z94" i="10"/>
  <c r="M95" i="10"/>
  <c r="N95" i="10"/>
  <c r="O95" i="10"/>
  <c r="P95" i="10"/>
  <c r="Q95" i="10"/>
  <c r="R95" i="10"/>
  <c r="S95" i="10"/>
  <c r="T95" i="10"/>
  <c r="U95" i="10"/>
  <c r="V95" i="10"/>
  <c r="W95" i="10"/>
  <c r="Y95" i="10"/>
  <c r="Z95" i="10"/>
  <c r="M96" i="10"/>
  <c r="N96" i="10"/>
  <c r="O96" i="10"/>
  <c r="P96" i="10"/>
  <c r="Q96" i="10"/>
  <c r="R96" i="10"/>
  <c r="S96" i="10"/>
  <c r="T96" i="10"/>
  <c r="U96" i="10"/>
  <c r="V96" i="10"/>
  <c r="W96" i="10"/>
  <c r="Y96" i="10"/>
  <c r="Z96" i="10"/>
  <c r="M97" i="10"/>
  <c r="N97" i="10"/>
  <c r="O97" i="10"/>
  <c r="P97" i="10"/>
  <c r="Q97" i="10"/>
  <c r="R97" i="10"/>
  <c r="S97" i="10"/>
  <c r="T97" i="10"/>
  <c r="U97" i="10"/>
  <c r="V97" i="10"/>
  <c r="W97" i="10"/>
  <c r="Y97" i="10"/>
  <c r="Z97" i="10"/>
  <c r="M98" i="10"/>
  <c r="N98" i="10"/>
  <c r="O98" i="10"/>
  <c r="P98" i="10"/>
  <c r="Q98" i="10"/>
  <c r="R98" i="10"/>
  <c r="S98" i="10"/>
  <c r="T98" i="10"/>
  <c r="U98" i="10"/>
  <c r="V98" i="10"/>
  <c r="W98" i="10"/>
  <c r="Y98" i="10"/>
  <c r="Z98" i="10"/>
  <c r="M99" i="10"/>
  <c r="N99" i="10"/>
  <c r="O99" i="10"/>
  <c r="P99" i="10"/>
  <c r="Q99" i="10"/>
  <c r="R99" i="10"/>
  <c r="S99" i="10"/>
  <c r="T99" i="10"/>
  <c r="U99" i="10"/>
  <c r="V99" i="10"/>
  <c r="W99" i="10"/>
  <c r="Y99" i="10"/>
  <c r="Z99" i="10"/>
  <c r="M100" i="10"/>
  <c r="N100" i="10"/>
  <c r="O100" i="10"/>
  <c r="P100" i="10"/>
  <c r="Q100" i="10"/>
  <c r="R100" i="10"/>
  <c r="S100" i="10"/>
  <c r="T100" i="10"/>
  <c r="U100" i="10"/>
  <c r="V100" i="10"/>
  <c r="W100" i="10"/>
  <c r="Y100" i="10"/>
  <c r="Z100" i="10"/>
  <c r="M101" i="10"/>
  <c r="N101" i="10"/>
  <c r="O101" i="10"/>
  <c r="P101" i="10"/>
  <c r="Q101" i="10"/>
  <c r="R101" i="10"/>
  <c r="S101" i="10"/>
  <c r="T101" i="10"/>
  <c r="U101" i="10"/>
  <c r="V101" i="10"/>
  <c r="W101" i="10"/>
  <c r="Y101" i="10"/>
  <c r="Z101" i="10"/>
  <c r="M102" i="10"/>
  <c r="N102" i="10"/>
  <c r="O102" i="10"/>
  <c r="P102" i="10"/>
  <c r="Q102" i="10"/>
  <c r="R102" i="10"/>
  <c r="S102" i="10"/>
  <c r="T102" i="10"/>
  <c r="U102" i="10"/>
  <c r="V102" i="10"/>
  <c r="W102" i="10"/>
  <c r="Y102" i="10"/>
  <c r="Z102" i="10"/>
  <c r="M103" i="10"/>
  <c r="N103" i="10"/>
  <c r="O103" i="10"/>
  <c r="P103" i="10"/>
  <c r="Q103" i="10"/>
  <c r="R103" i="10"/>
  <c r="S103" i="10"/>
  <c r="T103" i="10"/>
  <c r="U103" i="10"/>
  <c r="V103" i="10"/>
  <c r="W103" i="10"/>
  <c r="Y103" i="10"/>
  <c r="Z103" i="10"/>
  <c r="M104" i="10"/>
  <c r="N104" i="10"/>
  <c r="O104" i="10"/>
  <c r="P104" i="10"/>
  <c r="Q104" i="10"/>
  <c r="R104" i="10"/>
  <c r="S104" i="10"/>
  <c r="T104" i="10"/>
  <c r="U104" i="10"/>
  <c r="V104" i="10"/>
  <c r="W104" i="10"/>
  <c r="Y104" i="10"/>
  <c r="Z104" i="10"/>
  <c r="M105" i="10"/>
  <c r="N105" i="10"/>
  <c r="O105" i="10"/>
  <c r="P105" i="10"/>
  <c r="Q105" i="10"/>
  <c r="R105" i="10"/>
  <c r="S105" i="10"/>
  <c r="T105" i="10"/>
  <c r="U105" i="10"/>
  <c r="V105" i="10"/>
  <c r="W105" i="10"/>
  <c r="Y105" i="10"/>
  <c r="Z105" i="10"/>
  <c r="M106" i="10"/>
  <c r="N106" i="10"/>
  <c r="O106" i="10"/>
  <c r="P106" i="10"/>
  <c r="Q106" i="10"/>
  <c r="R106" i="10"/>
  <c r="S106" i="10"/>
  <c r="T106" i="10"/>
  <c r="U106" i="10"/>
  <c r="V106" i="10"/>
  <c r="W106" i="10"/>
  <c r="Y106" i="10"/>
  <c r="Z106" i="10"/>
  <c r="M107" i="10"/>
  <c r="N107" i="10"/>
  <c r="O107" i="10"/>
  <c r="P107" i="10"/>
  <c r="Q107" i="10"/>
  <c r="R107" i="10"/>
  <c r="S107" i="10"/>
  <c r="T107" i="10"/>
  <c r="U107" i="10"/>
  <c r="V107" i="10"/>
  <c r="W107" i="10"/>
  <c r="Y107" i="10"/>
  <c r="Z107" i="10"/>
  <c r="M108" i="10"/>
  <c r="N108" i="10"/>
  <c r="O108" i="10"/>
  <c r="P108" i="10"/>
  <c r="Q108" i="10"/>
  <c r="R108" i="10"/>
  <c r="S108" i="10"/>
  <c r="T108" i="10"/>
  <c r="U108" i="10"/>
  <c r="V108" i="10"/>
  <c r="W108" i="10"/>
  <c r="Y108" i="10"/>
  <c r="Z108" i="10"/>
  <c r="M109" i="10"/>
  <c r="N109" i="10"/>
  <c r="O109" i="10"/>
  <c r="P109" i="10"/>
  <c r="Q109" i="10"/>
  <c r="R109" i="10"/>
  <c r="S109" i="10"/>
  <c r="T109" i="10"/>
  <c r="U109" i="10"/>
  <c r="V109" i="10"/>
  <c r="W109" i="10"/>
  <c r="Y109" i="10"/>
  <c r="Z109" i="10"/>
  <c r="M110" i="10"/>
  <c r="N110" i="10"/>
  <c r="O110" i="10"/>
  <c r="P110" i="10"/>
  <c r="Q110" i="10"/>
  <c r="R110" i="10"/>
  <c r="S110" i="10"/>
  <c r="T110" i="10"/>
  <c r="U110" i="10"/>
  <c r="V110" i="10"/>
  <c r="W110" i="10"/>
  <c r="Y110" i="10"/>
  <c r="Z110" i="10"/>
  <c r="M111" i="10"/>
  <c r="N111" i="10"/>
  <c r="O111" i="10"/>
  <c r="P111" i="10"/>
  <c r="Q111" i="10"/>
  <c r="R111" i="10"/>
  <c r="S111" i="10"/>
  <c r="T111" i="10"/>
  <c r="U111" i="10"/>
  <c r="V111" i="10"/>
  <c r="W111" i="10"/>
  <c r="Y111" i="10"/>
  <c r="Z111" i="10"/>
  <c r="M112" i="10"/>
  <c r="N112" i="10"/>
  <c r="O112" i="10"/>
  <c r="P112" i="10"/>
  <c r="Q112" i="10"/>
  <c r="R112" i="10"/>
  <c r="S112" i="10"/>
  <c r="T112" i="10"/>
  <c r="U112" i="10"/>
  <c r="V112" i="10"/>
  <c r="W112" i="10"/>
  <c r="Y112" i="10"/>
  <c r="Z112" i="10"/>
  <c r="M113" i="10"/>
  <c r="N113" i="10"/>
  <c r="O113" i="10"/>
  <c r="P113" i="10"/>
  <c r="Q113" i="10"/>
  <c r="R113" i="10"/>
  <c r="S113" i="10"/>
  <c r="T113" i="10"/>
  <c r="U113" i="10"/>
  <c r="V113" i="10"/>
  <c r="W113" i="10"/>
  <c r="Y113" i="10"/>
  <c r="Z113" i="10"/>
  <c r="M114" i="10"/>
  <c r="N114" i="10"/>
  <c r="O114" i="10"/>
  <c r="P114" i="10"/>
  <c r="Q114" i="10"/>
  <c r="R114" i="10"/>
  <c r="S114" i="10"/>
  <c r="T114" i="10"/>
  <c r="U114" i="10"/>
  <c r="V114" i="10"/>
  <c r="W114" i="10"/>
  <c r="Y114" i="10"/>
  <c r="Z114" i="10"/>
  <c r="Z88" i="10"/>
  <c r="Y88" i="10"/>
  <c r="W88" i="10"/>
  <c r="V88" i="10"/>
  <c r="M88" i="10"/>
  <c r="C28" i="3" l="1"/>
  <c r="V10" i="10" l="1"/>
  <c r="AA10" i="10"/>
  <c r="I6" i="9" l="1"/>
  <c r="Y10" i="1"/>
  <c r="I2" i="2" l="1"/>
  <c r="Q36" i="6" l="1"/>
  <c r="Q37" i="6"/>
  <c r="Q38" i="6"/>
  <c r="Q39" i="6"/>
  <c r="Q40" i="6"/>
  <c r="Q41" i="6"/>
  <c r="Q42" i="6"/>
  <c r="Q43" i="6"/>
  <c r="Q44" i="6"/>
  <c r="Q45" i="6"/>
  <c r="Q46" i="6"/>
  <c r="Q47" i="6"/>
  <c r="Q48" i="6"/>
  <c r="Q49" i="6"/>
  <c r="Q50" i="6"/>
  <c r="Q51" i="6"/>
  <c r="Q52" i="6"/>
  <c r="Q53" i="6"/>
  <c r="Q54" i="6"/>
  <c r="Q55" i="6"/>
  <c r="Q56" i="6"/>
  <c r="Q57" i="6"/>
  <c r="Q58" i="6"/>
  <c r="Q59" i="6"/>
  <c r="Q60" i="6"/>
  <c r="P36" i="6"/>
  <c r="P37" i="6"/>
  <c r="P38" i="6"/>
  <c r="P39" i="6"/>
  <c r="P40" i="6"/>
  <c r="P41" i="6"/>
  <c r="P42" i="6"/>
  <c r="P43" i="6"/>
  <c r="P44" i="6"/>
  <c r="P45" i="6"/>
  <c r="P46" i="6"/>
  <c r="P47" i="6"/>
  <c r="P48" i="6"/>
  <c r="P49" i="6"/>
  <c r="P50" i="6"/>
  <c r="P51" i="6"/>
  <c r="P52" i="6"/>
  <c r="P53" i="6"/>
  <c r="P54" i="6"/>
  <c r="P55" i="6"/>
  <c r="P56" i="6"/>
  <c r="P57" i="6"/>
  <c r="P58" i="6"/>
  <c r="P59" i="6"/>
  <c r="P60" i="6"/>
  <c r="O36" i="6"/>
  <c r="O37" i="6"/>
  <c r="O38" i="6"/>
  <c r="O39" i="6"/>
  <c r="O40" i="6"/>
  <c r="O41" i="6"/>
  <c r="O42" i="6"/>
  <c r="O43" i="6"/>
  <c r="O44" i="6"/>
  <c r="O45" i="6"/>
  <c r="O46" i="6"/>
  <c r="O47" i="6"/>
  <c r="O48" i="6"/>
  <c r="O49" i="6"/>
  <c r="O50" i="6"/>
  <c r="O51" i="6"/>
  <c r="O52" i="6"/>
  <c r="O53" i="6"/>
  <c r="O54" i="6"/>
  <c r="O55" i="6"/>
  <c r="O56" i="6"/>
  <c r="O57" i="6"/>
  <c r="O58" i="6"/>
  <c r="O59" i="6"/>
  <c r="O60" i="6"/>
  <c r="M36" i="6"/>
  <c r="M37" i="6"/>
  <c r="M38" i="6"/>
  <c r="M39" i="6"/>
  <c r="M40" i="6"/>
  <c r="M41" i="6"/>
  <c r="M42" i="6"/>
  <c r="M43" i="6"/>
  <c r="M44" i="6"/>
  <c r="M45" i="6"/>
  <c r="M46" i="6"/>
  <c r="M47" i="6"/>
  <c r="M48" i="6"/>
  <c r="M49" i="6"/>
  <c r="M50" i="6"/>
  <c r="M51" i="6"/>
  <c r="M52" i="6"/>
  <c r="M53" i="6"/>
  <c r="M54" i="6"/>
  <c r="M55" i="6"/>
  <c r="M56" i="6"/>
  <c r="M57" i="6"/>
  <c r="M58" i="6"/>
  <c r="M59" i="6"/>
  <c r="M60" i="6"/>
  <c r="M34" i="6"/>
  <c r="M35" i="6"/>
  <c r="L36" i="6"/>
  <c r="L37" i="6"/>
  <c r="L38" i="6"/>
  <c r="L39" i="6"/>
  <c r="L40" i="6"/>
  <c r="L41" i="6"/>
  <c r="L42" i="6"/>
  <c r="L43" i="6"/>
  <c r="L44" i="6"/>
  <c r="L45" i="6"/>
  <c r="L46" i="6"/>
  <c r="L47" i="6"/>
  <c r="L48" i="6"/>
  <c r="L49" i="6"/>
  <c r="L50" i="6"/>
  <c r="L51" i="6"/>
  <c r="L52" i="6"/>
  <c r="L53" i="6"/>
  <c r="L54" i="6"/>
  <c r="L55" i="6"/>
  <c r="L56" i="6"/>
  <c r="L57" i="6"/>
  <c r="L58" i="6"/>
  <c r="L59" i="6"/>
  <c r="L60" i="6"/>
  <c r="L34" i="6"/>
  <c r="L35" i="6"/>
  <c r="A35" i="6"/>
  <c r="B35" i="6"/>
  <c r="C35" i="6"/>
  <c r="E35" i="6"/>
  <c r="F35" i="6"/>
  <c r="G35" i="6"/>
  <c r="H35" i="6"/>
  <c r="I35" i="6"/>
  <c r="J35" i="6"/>
  <c r="K35" i="6"/>
  <c r="N35" i="6"/>
  <c r="R35" i="6"/>
  <c r="S35" i="6"/>
  <c r="T35" i="6"/>
  <c r="U35" i="6"/>
  <c r="V35" i="6"/>
  <c r="W35" i="6"/>
  <c r="X35" i="6"/>
  <c r="Z35" i="6"/>
  <c r="AA35" i="6"/>
  <c r="AB35" i="6"/>
  <c r="AC35" i="6"/>
  <c r="AD35" i="6"/>
  <c r="AE35" i="6"/>
  <c r="AF35" i="6"/>
  <c r="AG35" i="6"/>
  <c r="AH35" i="6"/>
  <c r="AI35" i="6"/>
  <c r="AJ35" i="6"/>
  <c r="AK35" i="6"/>
  <c r="AL35" i="6"/>
  <c r="AM35" i="6"/>
  <c r="AN35" i="6"/>
  <c r="AO35" i="6"/>
  <c r="A36" i="6"/>
  <c r="B36" i="6"/>
  <c r="C36" i="6"/>
  <c r="E36" i="6"/>
  <c r="F36" i="6"/>
  <c r="G36" i="6"/>
  <c r="H36" i="6"/>
  <c r="I36" i="6"/>
  <c r="J36" i="6"/>
  <c r="K36" i="6"/>
  <c r="N36" i="6"/>
  <c r="R36" i="6"/>
  <c r="S36" i="6"/>
  <c r="T36" i="6"/>
  <c r="U36" i="6"/>
  <c r="V36" i="6"/>
  <c r="W36" i="6"/>
  <c r="X36" i="6"/>
  <c r="Z36" i="6"/>
  <c r="AA36" i="6"/>
  <c r="AB36" i="6"/>
  <c r="AC36" i="6"/>
  <c r="AD36" i="6"/>
  <c r="AE36" i="6"/>
  <c r="AF36" i="6"/>
  <c r="AG36" i="6"/>
  <c r="AH36" i="6"/>
  <c r="AI36" i="6"/>
  <c r="AJ36" i="6"/>
  <c r="AK36" i="6"/>
  <c r="AL36" i="6"/>
  <c r="AM36" i="6"/>
  <c r="AN36" i="6"/>
  <c r="AO36" i="6"/>
  <c r="AP36" i="6"/>
  <c r="A37" i="6"/>
  <c r="B37" i="6"/>
  <c r="C37" i="6"/>
  <c r="E37" i="6"/>
  <c r="F37" i="6"/>
  <c r="G37" i="6"/>
  <c r="H37" i="6"/>
  <c r="I37" i="6"/>
  <c r="J37" i="6"/>
  <c r="K37" i="6"/>
  <c r="N37" i="6"/>
  <c r="R37" i="6"/>
  <c r="S37" i="6"/>
  <c r="T37" i="6"/>
  <c r="U37" i="6"/>
  <c r="V37" i="6"/>
  <c r="W37" i="6"/>
  <c r="Y37" i="6" s="1"/>
  <c r="X37" i="6"/>
  <c r="Z37" i="6"/>
  <c r="AA37" i="6"/>
  <c r="AB37" i="6"/>
  <c r="AC37" i="6"/>
  <c r="AD37" i="6"/>
  <c r="AE37" i="6"/>
  <c r="AF37" i="6"/>
  <c r="AG37" i="6"/>
  <c r="AH37" i="6"/>
  <c r="AI37" i="6"/>
  <c r="AJ37" i="6"/>
  <c r="AK37" i="6"/>
  <c r="AL37" i="6"/>
  <c r="AM37" i="6"/>
  <c r="AN37" i="6"/>
  <c r="AO37" i="6"/>
  <c r="AP37" i="6"/>
  <c r="A38" i="6"/>
  <c r="B38" i="6"/>
  <c r="C38" i="6"/>
  <c r="E38" i="6"/>
  <c r="F38" i="6"/>
  <c r="G38" i="6"/>
  <c r="H38" i="6"/>
  <c r="I38" i="6"/>
  <c r="J38" i="6"/>
  <c r="K38" i="6"/>
  <c r="N38" i="6"/>
  <c r="R38" i="6"/>
  <c r="S38" i="6"/>
  <c r="T38" i="6"/>
  <c r="U38" i="6"/>
  <c r="V38" i="6"/>
  <c r="W38" i="6"/>
  <c r="X38" i="6"/>
  <c r="Z38" i="6"/>
  <c r="AA38" i="6"/>
  <c r="AB38" i="6"/>
  <c r="AC38" i="6"/>
  <c r="AD38" i="6"/>
  <c r="AE38" i="6"/>
  <c r="AF38" i="6"/>
  <c r="AG38" i="6"/>
  <c r="AH38" i="6"/>
  <c r="AI38" i="6"/>
  <c r="AJ38" i="6"/>
  <c r="AK38" i="6"/>
  <c r="AL38" i="6"/>
  <c r="AM38" i="6"/>
  <c r="AN38" i="6"/>
  <c r="AO38" i="6"/>
  <c r="AP38" i="6"/>
  <c r="A39" i="6"/>
  <c r="B39" i="6"/>
  <c r="C39" i="6"/>
  <c r="E39" i="6"/>
  <c r="F39" i="6"/>
  <c r="G39" i="6"/>
  <c r="H39" i="6"/>
  <c r="I39" i="6"/>
  <c r="J39" i="6"/>
  <c r="K39" i="6"/>
  <c r="N39" i="6"/>
  <c r="R39" i="6"/>
  <c r="S39" i="6"/>
  <c r="T39" i="6"/>
  <c r="U39" i="6"/>
  <c r="V39" i="6"/>
  <c r="W39" i="6"/>
  <c r="X39" i="6"/>
  <c r="Z39" i="6"/>
  <c r="AA39" i="6"/>
  <c r="AB39" i="6"/>
  <c r="AC39" i="6"/>
  <c r="AD39" i="6"/>
  <c r="AE39" i="6"/>
  <c r="AF39" i="6"/>
  <c r="AG39" i="6"/>
  <c r="AH39" i="6"/>
  <c r="AI39" i="6"/>
  <c r="AJ39" i="6"/>
  <c r="AK39" i="6"/>
  <c r="AL39" i="6"/>
  <c r="AM39" i="6"/>
  <c r="AN39" i="6"/>
  <c r="AO39" i="6"/>
  <c r="AP39" i="6"/>
  <c r="A40" i="6"/>
  <c r="B40" i="6"/>
  <c r="C40" i="6"/>
  <c r="E40" i="6"/>
  <c r="F40" i="6"/>
  <c r="G40" i="6"/>
  <c r="H40" i="6"/>
  <c r="I40" i="6"/>
  <c r="J40" i="6"/>
  <c r="K40" i="6"/>
  <c r="N40" i="6"/>
  <c r="R40" i="6"/>
  <c r="S40" i="6"/>
  <c r="T40" i="6"/>
  <c r="U40" i="6"/>
  <c r="V40" i="6"/>
  <c r="W40" i="6"/>
  <c r="X40" i="6"/>
  <c r="Z40" i="6"/>
  <c r="AA40" i="6"/>
  <c r="AB40" i="6"/>
  <c r="AC40" i="6"/>
  <c r="AD40" i="6"/>
  <c r="AE40" i="6"/>
  <c r="AF40" i="6"/>
  <c r="AG40" i="6"/>
  <c r="AH40" i="6"/>
  <c r="AI40" i="6"/>
  <c r="AJ40" i="6"/>
  <c r="AK40" i="6"/>
  <c r="AL40" i="6"/>
  <c r="AM40" i="6"/>
  <c r="AN40" i="6"/>
  <c r="AO40" i="6"/>
  <c r="AP40" i="6"/>
  <c r="A41" i="6"/>
  <c r="B41" i="6"/>
  <c r="C41" i="6"/>
  <c r="E41" i="6"/>
  <c r="F41" i="6"/>
  <c r="G41" i="6"/>
  <c r="H41" i="6"/>
  <c r="I41" i="6"/>
  <c r="J41" i="6"/>
  <c r="K41" i="6"/>
  <c r="N41" i="6"/>
  <c r="R41" i="6"/>
  <c r="S41" i="6"/>
  <c r="T41" i="6"/>
  <c r="U41" i="6"/>
  <c r="V41" i="6"/>
  <c r="W41" i="6"/>
  <c r="Y41" i="6" s="1"/>
  <c r="X41" i="6"/>
  <c r="Z41" i="6"/>
  <c r="AA41" i="6"/>
  <c r="AB41" i="6"/>
  <c r="AC41" i="6"/>
  <c r="AD41" i="6"/>
  <c r="AE41" i="6"/>
  <c r="AF41" i="6"/>
  <c r="AG41" i="6"/>
  <c r="AH41" i="6"/>
  <c r="AI41" i="6"/>
  <c r="AJ41" i="6"/>
  <c r="AK41" i="6"/>
  <c r="AL41" i="6"/>
  <c r="AM41" i="6"/>
  <c r="AN41" i="6"/>
  <c r="AO41" i="6"/>
  <c r="AP41" i="6"/>
  <c r="A42" i="6"/>
  <c r="B42" i="6"/>
  <c r="C42" i="6"/>
  <c r="E42" i="6"/>
  <c r="F42" i="6"/>
  <c r="G42" i="6"/>
  <c r="H42" i="6"/>
  <c r="I42" i="6"/>
  <c r="J42" i="6"/>
  <c r="K42" i="6"/>
  <c r="N42" i="6"/>
  <c r="R42" i="6"/>
  <c r="S42" i="6"/>
  <c r="T42" i="6"/>
  <c r="U42" i="6"/>
  <c r="V42" i="6"/>
  <c r="W42" i="6"/>
  <c r="X42" i="6"/>
  <c r="Z42" i="6"/>
  <c r="AA42" i="6"/>
  <c r="AB42" i="6"/>
  <c r="AC42" i="6"/>
  <c r="AD42" i="6"/>
  <c r="AE42" i="6"/>
  <c r="AF42" i="6"/>
  <c r="AG42" i="6"/>
  <c r="AH42" i="6"/>
  <c r="AI42" i="6"/>
  <c r="AJ42" i="6"/>
  <c r="AK42" i="6"/>
  <c r="AL42" i="6"/>
  <c r="AM42" i="6"/>
  <c r="AN42" i="6"/>
  <c r="AO42" i="6"/>
  <c r="AP42" i="6"/>
  <c r="A43" i="6"/>
  <c r="B43" i="6"/>
  <c r="C43" i="6"/>
  <c r="E43" i="6"/>
  <c r="F43" i="6"/>
  <c r="G43" i="6"/>
  <c r="H43" i="6"/>
  <c r="I43" i="6"/>
  <c r="J43" i="6"/>
  <c r="K43" i="6"/>
  <c r="N43" i="6"/>
  <c r="R43" i="6"/>
  <c r="S43" i="6"/>
  <c r="T43" i="6"/>
  <c r="U43" i="6"/>
  <c r="V43" i="6"/>
  <c r="W43" i="6"/>
  <c r="X43" i="6"/>
  <c r="Z43" i="6"/>
  <c r="AA43" i="6"/>
  <c r="AB43" i="6"/>
  <c r="AC43" i="6"/>
  <c r="AD43" i="6"/>
  <c r="AE43" i="6"/>
  <c r="AF43" i="6"/>
  <c r="AG43" i="6"/>
  <c r="AH43" i="6"/>
  <c r="AI43" i="6"/>
  <c r="AJ43" i="6"/>
  <c r="AK43" i="6"/>
  <c r="AL43" i="6"/>
  <c r="AM43" i="6"/>
  <c r="AN43" i="6"/>
  <c r="AO43" i="6"/>
  <c r="AP43" i="6"/>
  <c r="A44" i="6"/>
  <c r="B44" i="6"/>
  <c r="C44" i="6"/>
  <c r="E44" i="6"/>
  <c r="F44" i="6"/>
  <c r="G44" i="6"/>
  <c r="H44" i="6"/>
  <c r="I44" i="6"/>
  <c r="J44" i="6"/>
  <c r="K44" i="6"/>
  <c r="N44" i="6"/>
  <c r="R44" i="6"/>
  <c r="S44" i="6"/>
  <c r="T44" i="6"/>
  <c r="U44" i="6"/>
  <c r="V44" i="6"/>
  <c r="W44" i="6"/>
  <c r="X44" i="6"/>
  <c r="Z44" i="6"/>
  <c r="AA44" i="6"/>
  <c r="AB44" i="6"/>
  <c r="AC44" i="6"/>
  <c r="AD44" i="6"/>
  <c r="AE44" i="6"/>
  <c r="AF44" i="6"/>
  <c r="AG44" i="6"/>
  <c r="AH44" i="6"/>
  <c r="AI44" i="6"/>
  <c r="AJ44" i="6"/>
  <c r="AK44" i="6"/>
  <c r="AL44" i="6"/>
  <c r="AM44" i="6"/>
  <c r="AN44" i="6"/>
  <c r="AO44" i="6"/>
  <c r="AP44" i="6"/>
  <c r="A45" i="6"/>
  <c r="B45" i="6"/>
  <c r="C45" i="6"/>
  <c r="E45" i="6"/>
  <c r="F45" i="6"/>
  <c r="G45" i="6"/>
  <c r="H45" i="6"/>
  <c r="I45" i="6"/>
  <c r="J45" i="6"/>
  <c r="K45" i="6"/>
  <c r="N45" i="6"/>
  <c r="R45" i="6"/>
  <c r="S45" i="6"/>
  <c r="T45" i="6"/>
  <c r="U45" i="6"/>
  <c r="V45" i="6"/>
  <c r="W45" i="6"/>
  <c r="X45" i="6"/>
  <c r="Z45" i="6"/>
  <c r="AA45" i="6"/>
  <c r="AB45" i="6"/>
  <c r="AC45" i="6"/>
  <c r="AD45" i="6"/>
  <c r="AE45" i="6"/>
  <c r="AF45" i="6"/>
  <c r="AG45" i="6"/>
  <c r="AH45" i="6"/>
  <c r="AI45" i="6"/>
  <c r="AJ45" i="6"/>
  <c r="AK45" i="6"/>
  <c r="AL45" i="6"/>
  <c r="AM45" i="6"/>
  <c r="AN45" i="6"/>
  <c r="AO45" i="6"/>
  <c r="AP45" i="6"/>
  <c r="A46" i="6"/>
  <c r="B46" i="6"/>
  <c r="C46" i="6"/>
  <c r="E46" i="6"/>
  <c r="F46" i="6"/>
  <c r="G46" i="6"/>
  <c r="H46" i="6"/>
  <c r="I46" i="6"/>
  <c r="J46" i="6"/>
  <c r="K46" i="6"/>
  <c r="N46" i="6"/>
  <c r="R46" i="6"/>
  <c r="S46" i="6"/>
  <c r="T46" i="6"/>
  <c r="U46" i="6"/>
  <c r="V46" i="6"/>
  <c r="W46" i="6"/>
  <c r="X46" i="6"/>
  <c r="Z46" i="6"/>
  <c r="AA46" i="6"/>
  <c r="AB46" i="6"/>
  <c r="AC46" i="6"/>
  <c r="AD46" i="6"/>
  <c r="AE46" i="6"/>
  <c r="AF46" i="6"/>
  <c r="AG46" i="6"/>
  <c r="AH46" i="6"/>
  <c r="AI46" i="6"/>
  <c r="AJ46" i="6"/>
  <c r="AK46" i="6"/>
  <c r="AL46" i="6"/>
  <c r="AM46" i="6"/>
  <c r="AN46" i="6"/>
  <c r="AO46" i="6"/>
  <c r="AP46" i="6"/>
  <c r="A47" i="6"/>
  <c r="B47" i="6"/>
  <c r="C47" i="6"/>
  <c r="E47" i="6"/>
  <c r="F47" i="6"/>
  <c r="G47" i="6"/>
  <c r="H47" i="6"/>
  <c r="I47" i="6"/>
  <c r="J47" i="6"/>
  <c r="K47" i="6"/>
  <c r="N47" i="6"/>
  <c r="R47" i="6"/>
  <c r="S47" i="6"/>
  <c r="T47" i="6"/>
  <c r="U47" i="6"/>
  <c r="V47" i="6"/>
  <c r="W47" i="6"/>
  <c r="X47" i="6"/>
  <c r="Y47" i="6" s="1"/>
  <c r="Z47" i="6"/>
  <c r="AA47" i="6"/>
  <c r="AB47" i="6"/>
  <c r="AC47" i="6"/>
  <c r="AD47" i="6"/>
  <c r="AE47" i="6"/>
  <c r="AF47" i="6"/>
  <c r="AG47" i="6"/>
  <c r="AH47" i="6"/>
  <c r="AI47" i="6"/>
  <c r="AJ47" i="6"/>
  <c r="AK47" i="6"/>
  <c r="AL47" i="6"/>
  <c r="AM47" i="6"/>
  <c r="AN47" i="6"/>
  <c r="AO47" i="6"/>
  <c r="AP47" i="6"/>
  <c r="A48" i="6"/>
  <c r="B48" i="6"/>
  <c r="C48" i="6"/>
  <c r="E48" i="6"/>
  <c r="F48" i="6"/>
  <c r="G48" i="6"/>
  <c r="H48" i="6"/>
  <c r="I48" i="6"/>
  <c r="J48" i="6"/>
  <c r="K48" i="6"/>
  <c r="N48" i="6"/>
  <c r="R48" i="6"/>
  <c r="S48" i="6"/>
  <c r="T48" i="6"/>
  <c r="U48" i="6"/>
  <c r="V48" i="6"/>
  <c r="W48" i="6"/>
  <c r="X48" i="6"/>
  <c r="Z48" i="6"/>
  <c r="AA48" i="6"/>
  <c r="AB48" i="6"/>
  <c r="AC48" i="6"/>
  <c r="AD48" i="6"/>
  <c r="AE48" i="6"/>
  <c r="AF48" i="6"/>
  <c r="AG48" i="6"/>
  <c r="AH48" i="6"/>
  <c r="AI48" i="6"/>
  <c r="AJ48" i="6"/>
  <c r="AK48" i="6"/>
  <c r="AL48" i="6"/>
  <c r="AM48" i="6"/>
  <c r="AN48" i="6"/>
  <c r="AO48" i="6"/>
  <c r="AP48" i="6"/>
  <c r="A49" i="6"/>
  <c r="B49" i="6"/>
  <c r="C49" i="6"/>
  <c r="E49" i="6"/>
  <c r="F49" i="6"/>
  <c r="G49" i="6"/>
  <c r="H49" i="6"/>
  <c r="I49" i="6"/>
  <c r="J49" i="6"/>
  <c r="K49" i="6"/>
  <c r="N49" i="6"/>
  <c r="R49" i="6"/>
  <c r="S49" i="6"/>
  <c r="T49" i="6"/>
  <c r="U49" i="6"/>
  <c r="V49" i="6"/>
  <c r="W49" i="6"/>
  <c r="X49" i="6"/>
  <c r="Z49" i="6"/>
  <c r="AA49" i="6"/>
  <c r="AB49" i="6"/>
  <c r="AC49" i="6"/>
  <c r="AD49" i="6"/>
  <c r="AE49" i="6"/>
  <c r="AF49" i="6"/>
  <c r="AG49" i="6"/>
  <c r="AH49" i="6"/>
  <c r="AI49" i="6"/>
  <c r="AJ49" i="6"/>
  <c r="AK49" i="6"/>
  <c r="AL49" i="6"/>
  <c r="AM49" i="6"/>
  <c r="AN49" i="6"/>
  <c r="AO49" i="6"/>
  <c r="AP49" i="6"/>
  <c r="A50" i="6"/>
  <c r="B50" i="6"/>
  <c r="C50" i="6"/>
  <c r="E50" i="6"/>
  <c r="F50" i="6"/>
  <c r="G50" i="6"/>
  <c r="H50" i="6"/>
  <c r="I50" i="6"/>
  <c r="J50" i="6"/>
  <c r="K50" i="6"/>
  <c r="N50" i="6"/>
  <c r="R50" i="6"/>
  <c r="S50" i="6"/>
  <c r="T50" i="6"/>
  <c r="U50" i="6"/>
  <c r="V50" i="6"/>
  <c r="W50" i="6"/>
  <c r="X50" i="6"/>
  <c r="Z50" i="6"/>
  <c r="AA50" i="6"/>
  <c r="AB50" i="6"/>
  <c r="AC50" i="6"/>
  <c r="AD50" i="6"/>
  <c r="AE50" i="6"/>
  <c r="AF50" i="6"/>
  <c r="AG50" i="6"/>
  <c r="AH50" i="6"/>
  <c r="AI50" i="6"/>
  <c r="AJ50" i="6"/>
  <c r="AK50" i="6"/>
  <c r="AL50" i="6"/>
  <c r="AM50" i="6"/>
  <c r="AN50" i="6"/>
  <c r="AO50" i="6"/>
  <c r="AP50" i="6"/>
  <c r="A51" i="6"/>
  <c r="B51" i="6"/>
  <c r="C51" i="6"/>
  <c r="E51" i="6"/>
  <c r="F51" i="6"/>
  <c r="G51" i="6"/>
  <c r="H51" i="6"/>
  <c r="I51" i="6"/>
  <c r="J51" i="6"/>
  <c r="K51" i="6"/>
  <c r="N51" i="6"/>
  <c r="R51" i="6"/>
  <c r="S51" i="6"/>
  <c r="T51" i="6"/>
  <c r="U51" i="6"/>
  <c r="V51" i="6"/>
  <c r="W51" i="6"/>
  <c r="X51" i="6"/>
  <c r="Z51" i="6"/>
  <c r="AA51" i="6"/>
  <c r="AB51" i="6"/>
  <c r="AC51" i="6"/>
  <c r="AD51" i="6"/>
  <c r="AE51" i="6"/>
  <c r="AF51" i="6"/>
  <c r="AG51" i="6"/>
  <c r="AH51" i="6"/>
  <c r="AI51" i="6"/>
  <c r="AJ51" i="6"/>
  <c r="AK51" i="6"/>
  <c r="AL51" i="6"/>
  <c r="AM51" i="6"/>
  <c r="AN51" i="6"/>
  <c r="AO51" i="6"/>
  <c r="AP51" i="6"/>
  <c r="A52" i="6"/>
  <c r="B52" i="6"/>
  <c r="C52" i="6"/>
  <c r="E52" i="6"/>
  <c r="F52" i="6"/>
  <c r="G52" i="6"/>
  <c r="H52" i="6"/>
  <c r="I52" i="6"/>
  <c r="J52" i="6"/>
  <c r="K52" i="6"/>
  <c r="N52" i="6"/>
  <c r="R52" i="6"/>
  <c r="S52" i="6"/>
  <c r="T52" i="6"/>
  <c r="U52" i="6"/>
  <c r="V52" i="6"/>
  <c r="W52" i="6"/>
  <c r="X52" i="6"/>
  <c r="Z52" i="6"/>
  <c r="AA52" i="6"/>
  <c r="AB52" i="6"/>
  <c r="AC52" i="6"/>
  <c r="AD52" i="6"/>
  <c r="AE52" i="6"/>
  <c r="AF52" i="6"/>
  <c r="AG52" i="6"/>
  <c r="AH52" i="6"/>
  <c r="AI52" i="6"/>
  <c r="AJ52" i="6"/>
  <c r="AK52" i="6"/>
  <c r="AL52" i="6"/>
  <c r="AM52" i="6"/>
  <c r="AN52" i="6"/>
  <c r="AO52" i="6"/>
  <c r="AP52" i="6"/>
  <c r="A53" i="6"/>
  <c r="B53" i="6"/>
  <c r="C53" i="6"/>
  <c r="E53" i="6"/>
  <c r="F53" i="6"/>
  <c r="G53" i="6"/>
  <c r="H53" i="6"/>
  <c r="I53" i="6"/>
  <c r="J53" i="6"/>
  <c r="K53" i="6"/>
  <c r="N53" i="6"/>
  <c r="R53" i="6"/>
  <c r="S53" i="6"/>
  <c r="T53" i="6"/>
  <c r="U53" i="6"/>
  <c r="V53" i="6"/>
  <c r="W53" i="6"/>
  <c r="X53" i="6"/>
  <c r="Z53" i="6"/>
  <c r="AA53" i="6"/>
  <c r="AB53" i="6"/>
  <c r="AC53" i="6"/>
  <c r="AD53" i="6"/>
  <c r="AE53" i="6"/>
  <c r="AF53" i="6"/>
  <c r="AG53" i="6"/>
  <c r="AH53" i="6"/>
  <c r="AI53" i="6"/>
  <c r="AJ53" i="6"/>
  <c r="AK53" i="6"/>
  <c r="AL53" i="6"/>
  <c r="AM53" i="6"/>
  <c r="AN53" i="6"/>
  <c r="AO53" i="6"/>
  <c r="AP53" i="6"/>
  <c r="A54" i="6"/>
  <c r="B54" i="6"/>
  <c r="C54" i="6"/>
  <c r="E54" i="6"/>
  <c r="F54" i="6"/>
  <c r="G54" i="6"/>
  <c r="H54" i="6"/>
  <c r="I54" i="6"/>
  <c r="J54" i="6"/>
  <c r="K54" i="6"/>
  <c r="N54" i="6"/>
  <c r="R54" i="6"/>
  <c r="S54" i="6"/>
  <c r="T54" i="6"/>
  <c r="U54" i="6"/>
  <c r="V54" i="6"/>
  <c r="W54" i="6"/>
  <c r="Y54" i="6" s="1"/>
  <c r="X54" i="6"/>
  <c r="Z54" i="6"/>
  <c r="AA54" i="6"/>
  <c r="AB54" i="6"/>
  <c r="AC54" i="6"/>
  <c r="AD54" i="6"/>
  <c r="AE54" i="6"/>
  <c r="AF54" i="6"/>
  <c r="AG54" i="6"/>
  <c r="AH54" i="6"/>
  <c r="AI54" i="6"/>
  <c r="AJ54" i="6"/>
  <c r="AK54" i="6"/>
  <c r="AL54" i="6"/>
  <c r="AM54" i="6"/>
  <c r="AN54" i="6"/>
  <c r="AO54" i="6"/>
  <c r="AP54" i="6"/>
  <c r="A55" i="6"/>
  <c r="B55" i="6"/>
  <c r="C55" i="6"/>
  <c r="E55" i="6"/>
  <c r="F55" i="6"/>
  <c r="G55" i="6"/>
  <c r="H55" i="6"/>
  <c r="I55" i="6"/>
  <c r="J55" i="6"/>
  <c r="K55" i="6"/>
  <c r="N55" i="6"/>
  <c r="R55" i="6"/>
  <c r="S55" i="6"/>
  <c r="T55" i="6"/>
  <c r="U55" i="6"/>
  <c r="V55" i="6"/>
  <c r="W55" i="6"/>
  <c r="X55" i="6"/>
  <c r="Z55" i="6"/>
  <c r="AA55" i="6"/>
  <c r="AB55" i="6"/>
  <c r="AC55" i="6"/>
  <c r="AD55" i="6"/>
  <c r="AE55" i="6"/>
  <c r="AF55" i="6"/>
  <c r="AG55" i="6"/>
  <c r="AH55" i="6"/>
  <c r="AI55" i="6"/>
  <c r="AJ55" i="6"/>
  <c r="AK55" i="6"/>
  <c r="AL55" i="6"/>
  <c r="AM55" i="6"/>
  <c r="AN55" i="6"/>
  <c r="AO55" i="6"/>
  <c r="AP55" i="6"/>
  <c r="A56" i="6"/>
  <c r="B56" i="6"/>
  <c r="C56" i="6"/>
  <c r="E56" i="6"/>
  <c r="F56" i="6"/>
  <c r="G56" i="6"/>
  <c r="H56" i="6"/>
  <c r="I56" i="6"/>
  <c r="J56" i="6"/>
  <c r="K56" i="6"/>
  <c r="N56" i="6"/>
  <c r="R56" i="6"/>
  <c r="S56" i="6"/>
  <c r="T56" i="6"/>
  <c r="U56" i="6"/>
  <c r="V56" i="6"/>
  <c r="W56" i="6"/>
  <c r="X56" i="6"/>
  <c r="Z56" i="6"/>
  <c r="AA56" i="6"/>
  <c r="AB56" i="6"/>
  <c r="AC56" i="6"/>
  <c r="AD56" i="6"/>
  <c r="AE56" i="6"/>
  <c r="AF56" i="6"/>
  <c r="AG56" i="6"/>
  <c r="AH56" i="6"/>
  <c r="AI56" i="6"/>
  <c r="AJ56" i="6"/>
  <c r="AK56" i="6"/>
  <c r="AL56" i="6"/>
  <c r="AM56" i="6"/>
  <c r="AN56" i="6"/>
  <c r="AO56" i="6"/>
  <c r="AP56" i="6"/>
  <c r="A57" i="6"/>
  <c r="B57" i="6"/>
  <c r="C57" i="6"/>
  <c r="E57" i="6"/>
  <c r="F57" i="6"/>
  <c r="G57" i="6"/>
  <c r="H57" i="6"/>
  <c r="I57" i="6"/>
  <c r="J57" i="6"/>
  <c r="K57" i="6"/>
  <c r="N57" i="6"/>
  <c r="R57" i="6"/>
  <c r="S57" i="6"/>
  <c r="T57" i="6"/>
  <c r="U57" i="6"/>
  <c r="V57" i="6"/>
  <c r="W57" i="6"/>
  <c r="X57" i="6"/>
  <c r="Z57" i="6"/>
  <c r="AA57" i="6"/>
  <c r="AB57" i="6"/>
  <c r="AC57" i="6"/>
  <c r="AD57" i="6"/>
  <c r="AE57" i="6"/>
  <c r="AF57" i="6"/>
  <c r="AG57" i="6"/>
  <c r="AH57" i="6"/>
  <c r="AI57" i="6"/>
  <c r="AJ57" i="6"/>
  <c r="AK57" i="6"/>
  <c r="AL57" i="6"/>
  <c r="AM57" i="6"/>
  <c r="AN57" i="6"/>
  <c r="AO57" i="6"/>
  <c r="AP57" i="6"/>
  <c r="A58" i="6"/>
  <c r="B58" i="6"/>
  <c r="C58" i="6"/>
  <c r="E58" i="6"/>
  <c r="F58" i="6"/>
  <c r="G58" i="6"/>
  <c r="H58" i="6"/>
  <c r="I58" i="6"/>
  <c r="J58" i="6"/>
  <c r="K58" i="6"/>
  <c r="N58" i="6"/>
  <c r="R58" i="6"/>
  <c r="S58" i="6"/>
  <c r="T58" i="6"/>
  <c r="U58" i="6"/>
  <c r="V58" i="6"/>
  <c r="W58" i="6"/>
  <c r="X58" i="6"/>
  <c r="Z58" i="6"/>
  <c r="AA58" i="6"/>
  <c r="AB58" i="6"/>
  <c r="AC58" i="6"/>
  <c r="AD58" i="6"/>
  <c r="AE58" i="6"/>
  <c r="AF58" i="6"/>
  <c r="AG58" i="6"/>
  <c r="AH58" i="6"/>
  <c r="AI58" i="6"/>
  <c r="AJ58" i="6"/>
  <c r="AK58" i="6"/>
  <c r="AL58" i="6"/>
  <c r="AM58" i="6"/>
  <c r="AN58" i="6"/>
  <c r="AO58" i="6"/>
  <c r="AP58" i="6"/>
  <c r="A59" i="6"/>
  <c r="B59" i="6"/>
  <c r="C59" i="6"/>
  <c r="E59" i="6"/>
  <c r="F59" i="6"/>
  <c r="G59" i="6"/>
  <c r="H59" i="6"/>
  <c r="I59" i="6"/>
  <c r="J59" i="6"/>
  <c r="K59" i="6"/>
  <c r="N59" i="6"/>
  <c r="R59" i="6"/>
  <c r="S59" i="6"/>
  <c r="T59" i="6"/>
  <c r="U59" i="6"/>
  <c r="V59" i="6"/>
  <c r="W59" i="6"/>
  <c r="X59" i="6"/>
  <c r="Y59" i="6" s="1"/>
  <c r="Z59" i="6"/>
  <c r="AA59" i="6"/>
  <c r="AB59" i="6"/>
  <c r="AC59" i="6"/>
  <c r="AD59" i="6"/>
  <c r="AE59" i="6"/>
  <c r="AF59" i="6"/>
  <c r="AG59" i="6"/>
  <c r="AH59" i="6"/>
  <c r="AI59" i="6"/>
  <c r="AJ59" i="6"/>
  <c r="AK59" i="6"/>
  <c r="AL59" i="6"/>
  <c r="AM59" i="6"/>
  <c r="AN59" i="6"/>
  <c r="AO59" i="6"/>
  <c r="AP59" i="6"/>
  <c r="A60" i="6"/>
  <c r="B60" i="6"/>
  <c r="C60" i="6"/>
  <c r="E60" i="6"/>
  <c r="F60" i="6"/>
  <c r="G60" i="6"/>
  <c r="H60" i="6"/>
  <c r="I60" i="6"/>
  <c r="J60" i="6"/>
  <c r="K60" i="6"/>
  <c r="N60" i="6"/>
  <c r="R60" i="6"/>
  <c r="S60" i="6"/>
  <c r="T60" i="6"/>
  <c r="U60" i="6"/>
  <c r="V60" i="6"/>
  <c r="W60" i="6"/>
  <c r="X60" i="6"/>
  <c r="Z60" i="6"/>
  <c r="AA60" i="6"/>
  <c r="AB60" i="6"/>
  <c r="AC60" i="6"/>
  <c r="AD60" i="6"/>
  <c r="AE60" i="6"/>
  <c r="AF60" i="6"/>
  <c r="AG60" i="6"/>
  <c r="AH60" i="6"/>
  <c r="AI60" i="6"/>
  <c r="AJ60" i="6"/>
  <c r="AK60" i="6"/>
  <c r="AL60" i="6"/>
  <c r="AM60" i="6"/>
  <c r="AN60" i="6"/>
  <c r="AO60" i="6"/>
  <c r="AP60" i="6"/>
  <c r="AL34" i="6"/>
  <c r="AK34" i="6"/>
  <c r="AJ34" i="6"/>
  <c r="AI34" i="6"/>
  <c r="AH34" i="6"/>
  <c r="AM34" i="6"/>
  <c r="AN34" i="6"/>
  <c r="AO34" i="6"/>
  <c r="AO4" i="6"/>
  <c r="AG34" i="6"/>
  <c r="AF34" i="6"/>
  <c r="AE34" i="6"/>
  <c r="AD34" i="6"/>
  <c r="AC34" i="6"/>
  <c r="AB34" i="6"/>
  <c r="AA34" i="6"/>
  <c r="X34" i="6"/>
  <c r="W34" i="6"/>
  <c r="Z34" i="6"/>
  <c r="V34" i="6"/>
  <c r="U34" i="6"/>
  <c r="S34" i="6"/>
  <c r="T34" i="6"/>
  <c r="R34" i="6"/>
  <c r="N34" i="6"/>
  <c r="K34" i="6"/>
  <c r="J34" i="6"/>
  <c r="I34" i="6"/>
  <c r="H34" i="6"/>
  <c r="G34" i="6"/>
  <c r="A34" i="6"/>
  <c r="B34" i="6"/>
  <c r="C34" i="6"/>
  <c r="F34" i="6"/>
  <c r="E34" i="6"/>
  <c r="J4" i="10"/>
  <c r="J3" i="10"/>
  <c r="E3" i="3"/>
  <c r="O10" i="10"/>
  <c r="Q5" i="6"/>
  <c r="R5" i="6"/>
  <c r="S5" i="6"/>
  <c r="T5" i="6"/>
  <c r="U5" i="6"/>
  <c r="V5" i="6"/>
  <c r="W5" i="6"/>
  <c r="X5" i="6"/>
  <c r="Y5" i="6"/>
  <c r="Z5" i="6"/>
  <c r="AA5" i="6"/>
  <c r="AB5" i="6"/>
  <c r="AC5" i="6"/>
  <c r="AD5" i="6"/>
  <c r="AE5" i="6"/>
  <c r="AF5" i="6"/>
  <c r="AG5" i="6"/>
  <c r="AH5" i="6"/>
  <c r="AI5" i="6"/>
  <c r="AK5" i="6"/>
  <c r="AL5" i="6"/>
  <c r="AM5" i="6"/>
  <c r="AN5" i="6"/>
  <c r="AO5" i="6"/>
  <c r="Q6" i="6"/>
  <c r="R6" i="6"/>
  <c r="S6" i="6"/>
  <c r="T6" i="6"/>
  <c r="U6" i="6"/>
  <c r="V6" i="6"/>
  <c r="W6" i="6"/>
  <c r="X6" i="6"/>
  <c r="Y6" i="6"/>
  <c r="Z6" i="6"/>
  <c r="AA6" i="6"/>
  <c r="AB6" i="6"/>
  <c r="AC6" i="6"/>
  <c r="AD6" i="6"/>
  <c r="AE6" i="6"/>
  <c r="AF6" i="6"/>
  <c r="AG6" i="6"/>
  <c r="AH6" i="6"/>
  <c r="AI6" i="6"/>
  <c r="AJ6" i="6"/>
  <c r="AK6" i="6"/>
  <c r="AL6" i="6"/>
  <c r="AM6" i="6"/>
  <c r="AN6" i="6"/>
  <c r="AO6" i="6"/>
  <c r="Q7" i="6"/>
  <c r="R7" i="6"/>
  <c r="S7" i="6"/>
  <c r="T7" i="6"/>
  <c r="U7" i="6"/>
  <c r="V7" i="6"/>
  <c r="W7" i="6"/>
  <c r="X7" i="6"/>
  <c r="Y7" i="6"/>
  <c r="Z7" i="6"/>
  <c r="AA7" i="6"/>
  <c r="AB7" i="6"/>
  <c r="AC7" i="6"/>
  <c r="AD7" i="6"/>
  <c r="AE7" i="6"/>
  <c r="AF7" i="6"/>
  <c r="AG7" i="6"/>
  <c r="AH7" i="6"/>
  <c r="AI7" i="6"/>
  <c r="AJ7" i="6"/>
  <c r="AK7" i="6"/>
  <c r="AL7" i="6"/>
  <c r="AM7" i="6"/>
  <c r="AN7" i="6"/>
  <c r="AO7" i="6"/>
  <c r="Q8" i="6"/>
  <c r="R8" i="6"/>
  <c r="S8" i="6"/>
  <c r="T8" i="6"/>
  <c r="U8" i="6"/>
  <c r="V8" i="6"/>
  <c r="W8" i="6"/>
  <c r="X8" i="6"/>
  <c r="Y8" i="6"/>
  <c r="Z8" i="6"/>
  <c r="AA8" i="6"/>
  <c r="AB8" i="6"/>
  <c r="AC8" i="6"/>
  <c r="AD8" i="6"/>
  <c r="AE8" i="6"/>
  <c r="AF8" i="6"/>
  <c r="AG8" i="6"/>
  <c r="AH8" i="6"/>
  <c r="AI8" i="6"/>
  <c r="AJ8" i="6"/>
  <c r="AK8" i="6"/>
  <c r="AL8" i="6"/>
  <c r="AM8" i="6"/>
  <c r="AN8" i="6"/>
  <c r="AO8" i="6"/>
  <c r="Q9" i="6"/>
  <c r="R9" i="6"/>
  <c r="S9" i="6"/>
  <c r="T9" i="6"/>
  <c r="U9" i="6"/>
  <c r="V9" i="6"/>
  <c r="W9" i="6"/>
  <c r="X9" i="6"/>
  <c r="Y9" i="6"/>
  <c r="Z9" i="6"/>
  <c r="AA9" i="6"/>
  <c r="AB9" i="6"/>
  <c r="AC9" i="6"/>
  <c r="AD9" i="6"/>
  <c r="AE9" i="6"/>
  <c r="AF9" i="6"/>
  <c r="AG9" i="6"/>
  <c r="AH9" i="6"/>
  <c r="AI9" i="6"/>
  <c r="AJ9" i="6"/>
  <c r="AK9" i="6"/>
  <c r="AL9" i="6"/>
  <c r="AM9" i="6"/>
  <c r="AN9" i="6"/>
  <c r="AO9" i="6"/>
  <c r="Q10" i="6"/>
  <c r="R10" i="6"/>
  <c r="S10" i="6"/>
  <c r="T10" i="6"/>
  <c r="U10" i="6"/>
  <c r="V10" i="6"/>
  <c r="W10" i="6"/>
  <c r="X10" i="6"/>
  <c r="Y10" i="6"/>
  <c r="Z10" i="6"/>
  <c r="AA10" i="6"/>
  <c r="AB10" i="6"/>
  <c r="AC10" i="6"/>
  <c r="AD10" i="6"/>
  <c r="AE10" i="6"/>
  <c r="AF10" i="6"/>
  <c r="AG10" i="6"/>
  <c r="AH10" i="6"/>
  <c r="AI10" i="6"/>
  <c r="AJ10" i="6"/>
  <c r="AK10" i="6"/>
  <c r="AL10" i="6"/>
  <c r="AM10" i="6"/>
  <c r="AN10" i="6"/>
  <c r="AO10" i="6"/>
  <c r="Q11" i="6"/>
  <c r="R11" i="6"/>
  <c r="S11" i="6"/>
  <c r="T11" i="6"/>
  <c r="U11" i="6"/>
  <c r="V11" i="6"/>
  <c r="W11" i="6"/>
  <c r="X11" i="6"/>
  <c r="Y11" i="6"/>
  <c r="Z11" i="6"/>
  <c r="AA11" i="6"/>
  <c r="AB11" i="6"/>
  <c r="AC11" i="6"/>
  <c r="AD11" i="6"/>
  <c r="AE11" i="6"/>
  <c r="AF11" i="6"/>
  <c r="AG11" i="6"/>
  <c r="AH11" i="6"/>
  <c r="AI11" i="6"/>
  <c r="AJ11" i="6"/>
  <c r="AK11" i="6"/>
  <c r="AL11" i="6"/>
  <c r="AM11" i="6"/>
  <c r="AN11" i="6"/>
  <c r="AO11" i="6"/>
  <c r="Q12" i="6"/>
  <c r="R12" i="6"/>
  <c r="S12" i="6"/>
  <c r="T12" i="6"/>
  <c r="U12" i="6"/>
  <c r="V12" i="6"/>
  <c r="W12" i="6"/>
  <c r="X12" i="6"/>
  <c r="Y12" i="6"/>
  <c r="Z12" i="6"/>
  <c r="AA12" i="6"/>
  <c r="AB12" i="6"/>
  <c r="AC12" i="6"/>
  <c r="AD12" i="6"/>
  <c r="AE12" i="6"/>
  <c r="AF12" i="6"/>
  <c r="AG12" i="6"/>
  <c r="AH12" i="6"/>
  <c r="AI12" i="6"/>
  <c r="AJ12" i="6"/>
  <c r="AK12" i="6"/>
  <c r="AL12" i="6"/>
  <c r="AM12" i="6"/>
  <c r="AN12" i="6"/>
  <c r="AO12" i="6"/>
  <c r="Q13" i="6"/>
  <c r="R13" i="6"/>
  <c r="S13" i="6"/>
  <c r="T13" i="6"/>
  <c r="U13" i="6"/>
  <c r="V13" i="6"/>
  <c r="W13" i="6"/>
  <c r="X13" i="6"/>
  <c r="Y13" i="6"/>
  <c r="Z13" i="6"/>
  <c r="AA13" i="6"/>
  <c r="AB13" i="6"/>
  <c r="AC13" i="6"/>
  <c r="AD13" i="6"/>
  <c r="AE13" i="6"/>
  <c r="AF13" i="6"/>
  <c r="AG13" i="6"/>
  <c r="AH13" i="6"/>
  <c r="AI13" i="6"/>
  <c r="AJ13" i="6"/>
  <c r="AK13" i="6"/>
  <c r="AL13" i="6"/>
  <c r="AM13" i="6"/>
  <c r="AN13" i="6"/>
  <c r="AO13" i="6"/>
  <c r="Q14" i="6"/>
  <c r="R14" i="6"/>
  <c r="S14" i="6"/>
  <c r="T14" i="6"/>
  <c r="U14" i="6"/>
  <c r="V14" i="6"/>
  <c r="W14" i="6"/>
  <c r="X14" i="6"/>
  <c r="Y14" i="6"/>
  <c r="Z14" i="6"/>
  <c r="AA14" i="6"/>
  <c r="AB14" i="6"/>
  <c r="AC14" i="6"/>
  <c r="AD14" i="6"/>
  <c r="AE14" i="6"/>
  <c r="AF14" i="6"/>
  <c r="AG14" i="6"/>
  <c r="AH14" i="6"/>
  <c r="AI14" i="6"/>
  <c r="AJ14" i="6"/>
  <c r="AK14" i="6"/>
  <c r="AL14" i="6"/>
  <c r="AM14" i="6"/>
  <c r="AN14" i="6"/>
  <c r="AO14" i="6"/>
  <c r="Q15" i="6"/>
  <c r="R15" i="6"/>
  <c r="S15" i="6"/>
  <c r="T15" i="6"/>
  <c r="U15" i="6"/>
  <c r="V15" i="6"/>
  <c r="W15" i="6"/>
  <c r="X15" i="6"/>
  <c r="Y15" i="6"/>
  <c r="Z15" i="6"/>
  <c r="AA15" i="6"/>
  <c r="AB15" i="6"/>
  <c r="AC15" i="6"/>
  <c r="AD15" i="6"/>
  <c r="AE15" i="6"/>
  <c r="AF15" i="6"/>
  <c r="AG15" i="6"/>
  <c r="AH15" i="6"/>
  <c r="AI15" i="6"/>
  <c r="AJ15" i="6"/>
  <c r="AK15" i="6"/>
  <c r="AL15" i="6"/>
  <c r="AM15" i="6"/>
  <c r="AN15" i="6"/>
  <c r="AO15" i="6"/>
  <c r="Q16" i="6"/>
  <c r="R16" i="6"/>
  <c r="S16" i="6"/>
  <c r="T16" i="6"/>
  <c r="U16" i="6"/>
  <c r="V16" i="6"/>
  <c r="W16" i="6"/>
  <c r="X16" i="6"/>
  <c r="Y16" i="6"/>
  <c r="Z16" i="6"/>
  <c r="AA16" i="6"/>
  <c r="AB16" i="6"/>
  <c r="AC16" i="6"/>
  <c r="AD16" i="6"/>
  <c r="AE16" i="6"/>
  <c r="AF16" i="6"/>
  <c r="AG16" i="6"/>
  <c r="AH16" i="6"/>
  <c r="AI16" i="6"/>
  <c r="AJ16" i="6"/>
  <c r="AK16" i="6"/>
  <c r="AL16" i="6"/>
  <c r="AM16" i="6"/>
  <c r="AN16" i="6"/>
  <c r="AO16" i="6"/>
  <c r="Q17" i="6"/>
  <c r="R17" i="6"/>
  <c r="S17" i="6"/>
  <c r="T17" i="6"/>
  <c r="U17" i="6"/>
  <c r="V17" i="6"/>
  <c r="W17" i="6"/>
  <c r="X17" i="6"/>
  <c r="Y17" i="6"/>
  <c r="Z17" i="6"/>
  <c r="AA17" i="6"/>
  <c r="AB17" i="6"/>
  <c r="AC17" i="6"/>
  <c r="AD17" i="6"/>
  <c r="AE17" i="6"/>
  <c r="AF17" i="6"/>
  <c r="AG17" i="6"/>
  <c r="AH17" i="6"/>
  <c r="AI17" i="6"/>
  <c r="AJ17" i="6"/>
  <c r="AK17" i="6"/>
  <c r="AL17" i="6"/>
  <c r="AM17" i="6"/>
  <c r="AN17" i="6"/>
  <c r="AO17" i="6"/>
  <c r="Q18" i="6"/>
  <c r="R18" i="6"/>
  <c r="S18" i="6"/>
  <c r="T18" i="6"/>
  <c r="U18" i="6"/>
  <c r="V18" i="6"/>
  <c r="W18" i="6"/>
  <c r="X18" i="6"/>
  <c r="Y18" i="6"/>
  <c r="Z18" i="6"/>
  <c r="AA18" i="6"/>
  <c r="AB18" i="6"/>
  <c r="AC18" i="6"/>
  <c r="AD18" i="6"/>
  <c r="AE18" i="6"/>
  <c r="AF18" i="6"/>
  <c r="AG18" i="6"/>
  <c r="AH18" i="6"/>
  <c r="AI18" i="6"/>
  <c r="AJ18" i="6"/>
  <c r="AK18" i="6"/>
  <c r="AL18" i="6"/>
  <c r="AM18" i="6"/>
  <c r="AN18" i="6"/>
  <c r="AO18" i="6"/>
  <c r="Q19" i="6"/>
  <c r="R19" i="6"/>
  <c r="S19" i="6"/>
  <c r="T19" i="6"/>
  <c r="U19" i="6"/>
  <c r="V19" i="6"/>
  <c r="W19" i="6"/>
  <c r="X19" i="6"/>
  <c r="Y19" i="6"/>
  <c r="Z19" i="6"/>
  <c r="AA19" i="6"/>
  <c r="AB19" i="6"/>
  <c r="AC19" i="6"/>
  <c r="AD19" i="6"/>
  <c r="AE19" i="6"/>
  <c r="AF19" i="6"/>
  <c r="AG19" i="6"/>
  <c r="AH19" i="6"/>
  <c r="AI19" i="6"/>
  <c r="AJ19" i="6"/>
  <c r="AK19" i="6"/>
  <c r="AL19" i="6"/>
  <c r="AM19" i="6"/>
  <c r="AN19" i="6"/>
  <c r="AO19" i="6"/>
  <c r="Q20" i="6"/>
  <c r="R20" i="6"/>
  <c r="S20" i="6"/>
  <c r="T20" i="6"/>
  <c r="U20" i="6"/>
  <c r="V20" i="6"/>
  <c r="W20" i="6"/>
  <c r="X20" i="6"/>
  <c r="Y20" i="6"/>
  <c r="Z20" i="6"/>
  <c r="AA20" i="6"/>
  <c r="AB20" i="6"/>
  <c r="AC20" i="6"/>
  <c r="AD20" i="6"/>
  <c r="AE20" i="6"/>
  <c r="AF20" i="6"/>
  <c r="AG20" i="6"/>
  <c r="AH20" i="6"/>
  <c r="AI20" i="6"/>
  <c r="AJ20" i="6"/>
  <c r="AK20" i="6"/>
  <c r="AL20" i="6"/>
  <c r="AM20" i="6"/>
  <c r="AN20" i="6"/>
  <c r="AO20" i="6"/>
  <c r="Q21" i="6"/>
  <c r="R21" i="6"/>
  <c r="S21" i="6"/>
  <c r="T21" i="6"/>
  <c r="U21" i="6"/>
  <c r="V21" i="6"/>
  <c r="W21" i="6"/>
  <c r="X21" i="6"/>
  <c r="Y21" i="6"/>
  <c r="Z21" i="6"/>
  <c r="AA21" i="6"/>
  <c r="AB21" i="6"/>
  <c r="AC21" i="6"/>
  <c r="AD21" i="6"/>
  <c r="AE21" i="6"/>
  <c r="AF21" i="6"/>
  <c r="AG21" i="6"/>
  <c r="AH21" i="6"/>
  <c r="AI21" i="6"/>
  <c r="AJ21" i="6"/>
  <c r="AK21" i="6"/>
  <c r="AL21" i="6"/>
  <c r="AM21" i="6"/>
  <c r="AN21" i="6"/>
  <c r="AO21" i="6"/>
  <c r="Q22" i="6"/>
  <c r="R22" i="6"/>
  <c r="S22" i="6"/>
  <c r="T22" i="6"/>
  <c r="U22" i="6"/>
  <c r="V22" i="6"/>
  <c r="W22" i="6"/>
  <c r="X22" i="6"/>
  <c r="Y22" i="6"/>
  <c r="Z22" i="6"/>
  <c r="AA22" i="6"/>
  <c r="AB22" i="6"/>
  <c r="AC22" i="6"/>
  <c r="AD22" i="6"/>
  <c r="AE22" i="6"/>
  <c r="AF22" i="6"/>
  <c r="AG22" i="6"/>
  <c r="AH22" i="6"/>
  <c r="AI22" i="6"/>
  <c r="AJ22" i="6"/>
  <c r="AK22" i="6"/>
  <c r="AL22" i="6"/>
  <c r="AM22" i="6"/>
  <c r="AN22" i="6"/>
  <c r="AO22" i="6"/>
  <c r="Q23" i="6"/>
  <c r="R23" i="6"/>
  <c r="S23" i="6"/>
  <c r="T23" i="6"/>
  <c r="U23" i="6"/>
  <c r="V23" i="6"/>
  <c r="W23" i="6"/>
  <c r="X23" i="6"/>
  <c r="Y23" i="6"/>
  <c r="Z23" i="6"/>
  <c r="AA23" i="6"/>
  <c r="AB23" i="6"/>
  <c r="AC23" i="6"/>
  <c r="AD23" i="6"/>
  <c r="AE23" i="6"/>
  <c r="AF23" i="6"/>
  <c r="AG23" i="6"/>
  <c r="AH23" i="6"/>
  <c r="AI23" i="6"/>
  <c r="AJ23" i="6"/>
  <c r="AK23" i="6"/>
  <c r="AL23" i="6"/>
  <c r="AM23" i="6"/>
  <c r="AN23" i="6"/>
  <c r="AO23" i="6"/>
  <c r="Q24" i="6"/>
  <c r="R24" i="6"/>
  <c r="S24" i="6"/>
  <c r="T24" i="6"/>
  <c r="U24" i="6"/>
  <c r="V24" i="6"/>
  <c r="W24" i="6"/>
  <c r="X24" i="6"/>
  <c r="Y24" i="6"/>
  <c r="Z24" i="6"/>
  <c r="AA24" i="6"/>
  <c r="AB24" i="6"/>
  <c r="AC24" i="6"/>
  <c r="AD24" i="6"/>
  <c r="AE24" i="6"/>
  <c r="AF24" i="6"/>
  <c r="AG24" i="6"/>
  <c r="AH24" i="6"/>
  <c r="AI24" i="6"/>
  <c r="AJ24" i="6"/>
  <c r="AK24" i="6"/>
  <c r="AL24" i="6"/>
  <c r="AM24" i="6"/>
  <c r="AN24" i="6"/>
  <c r="AO24" i="6"/>
  <c r="Q25" i="6"/>
  <c r="R25" i="6"/>
  <c r="S25" i="6"/>
  <c r="T25" i="6"/>
  <c r="U25" i="6"/>
  <c r="V25" i="6"/>
  <c r="W25" i="6"/>
  <c r="X25" i="6"/>
  <c r="Y25" i="6"/>
  <c r="Z25" i="6"/>
  <c r="AA25" i="6"/>
  <c r="AB25" i="6"/>
  <c r="AC25" i="6"/>
  <c r="AD25" i="6"/>
  <c r="AE25" i="6"/>
  <c r="AF25" i="6"/>
  <c r="AG25" i="6"/>
  <c r="AH25" i="6"/>
  <c r="AI25" i="6"/>
  <c r="AJ25" i="6"/>
  <c r="AK25" i="6"/>
  <c r="AL25" i="6"/>
  <c r="AM25" i="6"/>
  <c r="AN25" i="6"/>
  <c r="AO25" i="6"/>
  <c r="Q26" i="6"/>
  <c r="R26" i="6"/>
  <c r="S26" i="6"/>
  <c r="T26" i="6"/>
  <c r="U26" i="6"/>
  <c r="V26" i="6"/>
  <c r="W26" i="6"/>
  <c r="X26" i="6"/>
  <c r="Y26" i="6"/>
  <c r="Z26" i="6"/>
  <c r="AA26" i="6"/>
  <c r="AB26" i="6"/>
  <c r="AC26" i="6"/>
  <c r="AD26" i="6"/>
  <c r="AE26" i="6"/>
  <c r="AF26" i="6"/>
  <c r="AG26" i="6"/>
  <c r="AH26" i="6"/>
  <c r="AI26" i="6"/>
  <c r="AJ26" i="6"/>
  <c r="AK26" i="6"/>
  <c r="AL26" i="6"/>
  <c r="AM26" i="6"/>
  <c r="AN26" i="6"/>
  <c r="AO26" i="6"/>
  <c r="Q27" i="6"/>
  <c r="R27" i="6"/>
  <c r="S27" i="6"/>
  <c r="T27" i="6"/>
  <c r="U27" i="6"/>
  <c r="V27" i="6"/>
  <c r="W27" i="6"/>
  <c r="X27" i="6"/>
  <c r="Y27" i="6"/>
  <c r="Z27" i="6"/>
  <c r="AA27" i="6"/>
  <c r="AB27" i="6"/>
  <c r="AC27" i="6"/>
  <c r="AD27" i="6"/>
  <c r="AE27" i="6"/>
  <c r="AF27" i="6"/>
  <c r="AG27" i="6"/>
  <c r="AH27" i="6"/>
  <c r="AI27" i="6"/>
  <c r="AJ27" i="6"/>
  <c r="AK27" i="6"/>
  <c r="AL27" i="6"/>
  <c r="AM27" i="6"/>
  <c r="AN27" i="6"/>
  <c r="AO27" i="6"/>
  <c r="Q28" i="6"/>
  <c r="R28" i="6"/>
  <c r="S28" i="6"/>
  <c r="T28" i="6"/>
  <c r="U28" i="6"/>
  <c r="V28" i="6"/>
  <c r="W28" i="6"/>
  <c r="X28" i="6"/>
  <c r="Y28" i="6"/>
  <c r="Z28" i="6"/>
  <c r="AA28" i="6"/>
  <c r="AB28" i="6"/>
  <c r="AC28" i="6"/>
  <c r="AD28" i="6"/>
  <c r="AE28" i="6"/>
  <c r="AF28" i="6"/>
  <c r="AG28" i="6"/>
  <c r="AH28" i="6"/>
  <c r="AI28" i="6"/>
  <c r="AJ28" i="6"/>
  <c r="AK28" i="6"/>
  <c r="AL28" i="6"/>
  <c r="AM28" i="6"/>
  <c r="AN28" i="6"/>
  <c r="AO28" i="6"/>
  <c r="Q29" i="6"/>
  <c r="R29" i="6"/>
  <c r="S29" i="6"/>
  <c r="T29" i="6"/>
  <c r="U29" i="6"/>
  <c r="V29" i="6"/>
  <c r="W29" i="6"/>
  <c r="X29" i="6"/>
  <c r="Y29" i="6"/>
  <c r="Z29" i="6"/>
  <c r="AA29" i="6"/>
  <c r="AB29" i="6"/>
  <c r="AC29" i="6"/>
  <c r="AD29" i="6"/>
  <c r="AE29" i="6"/>
  <c r="AF29" i="6"/>
  <c r="AG29" i="6"/>
  <c r="AH29" i="6"/>
  <c r="AI29" i="6"/>
  <c r="AJ29" i="6"/>
  <c r="AK29" i="6"/>
  <c r="AL29" i="6"/>
  <c r="AM29" i="6"/>
  <c r="AN29" i="6"/>
  <c r="AO29" i="6"/>
  <c r="Q30" i="6"/>
  <c r="R30" i="6"/>
  <c r="S30" i="6"/>
  <c r="T30" i="6"/>
  <c r="U30" i="6"/>
  <c r="V30" i="6"/>
  <c r="W30" i="6"/>
  <c r="X30" i="6"/>
  <c r="Y30" i="6"/>
  <c r="Z30" i="6"/>
  <c r="AA30" i="6"/>
  <c r="AB30" i="6"/>
  <c r="AC30" i="6"/>
  <c r="AD30" i="6"/>
  <c r="AE30" i="6"/>
  <c r="AF30" i="6"/>
  <c r="AG30" i="6"/>
  <c r="AH30" i="6"/>
  <c r="AI30" i="6"/>
  <c r="AJ30" i="6"/>
  <c r="AK30" i="6"/>
  <c r="AL30" i="6"/>
  <c r="AM30" i="6"/>
  <c r="AN30" i="6"/>
  <c r="AO30" i="6"/>
  <c r="AM4" i="6"/>
  <c r="Z4" i="6"/>
  <c r="X4" i="6"/>
  <c r="W4" i="6"/>
  <c r="Q35" i="6" l="1"/>
  <c r="Y58" i="6"/>
  <c r="Y57" i="6"/>
  <c r="Y44" i="6"/>
  <c r="Y60" i="6"/>
  <c r="Y56" i="6"/>
  <c r="Y45" i="6"/>
  <c r="Y50" i="6"/>
  <c r="Y46" i="6"/>
  <c r="Q34" i="6"/>
  <c r="Y34" i="6"/>
  <c r="Y51" i="6"/>
  <c r="Y49" i="6"/>
  <c r="Y36" i="6"/>
  <c r="Y52" i="6"/>
  <c r="Y42" i="6"/>
  <c r="Y38" i="6"/>
  <c r="Y55" i="6"/>
  <c r="Y53" i="6"/>
  <c r="Y48" i="6"/>
  <c r="Y40" i="6"/>
  <c r="Y35" i="6"/>
  <c r="Y43" i="6"/>
  <c r="Y39" i="6"/>
  <c r="I10" i="10" l="1"/>
  <c r="E10" i="10"/>
  <c r="E9" i="3"/>
  <c r="B8" i="3"/>
  <c r="AB4" i="6"/>
  <c r="C59" i="10"/>
  <c r="C89" i="10" s="1"/>
  <c r="D59" i="10"/>
  <c r="D89" i="10" s="1"/>
  <c r="C60" i="10"/>
  <c r="C90" i="10" s="1"/>
  <c r="AA90" i="10" s="1"/>
  <c r="D60" i="10"/>
  <c r="D90" i="10" s="1"/>
  <c r="C61" i="10"/>
  <c r="C91" i="10" s="1"/>
  <c r="AA91" i="10" s="1"/>
  <c r="D61" i="10"/>
  <c r="D91" i="10" s="1"/>
  <c r="C62" i="10"/>
  <c r="C92" i="10" s="1"/>
  <c r="AA92" i="10" s="1"/>
  <c r="D62" i="10"/>
  <c r="D92" i="10" s="1"/>
  <c r="C63" i="10"/>
  <c r="C93" i="10" s="1"/>
  <c r="AA93" i="10" s="1"/>
  <c r="D63" i="10"/>
  <c r="D93" i="10" s="1"/>
  <c r="C64" i="10"/>
  <c r="C94" i="10" s="1"/>
  <c r="AA94" i="10" s="1"/>
  <c r="D64" i="10"/>
  <c r="D94" i="10" s="1"/>
  <c r="C65" i="10"/>
  <c r="C95" i="10" s="1"/>
  <c r="AA95" i="10" s="1"/>
  <c r="D65" i="10"/>
  <c r="D95" i="10" s="1"/>
  <c r="C66" i="10"/>
  <c r="C96" i="10" s="1"/>
  <c r="AA96" i="10" s="1"/>
  <c r="D66" i="10"/>
  <c r="D96" i="10" s="1"/>
  <c r="C67" i="10"/>
  <c r="C97" i="10" s="1"/>
  <c r="AA97" i="10" s="1"/>
  <c r="D67" i="10"/>
  <c r="D97" i="10" s="1"/>
  <c r="C68" i="10"/>
  <c r="C98" i="10" s="1"/>
  <c r="AA98" i="10" s="1"/>
  <c r="D68" i="10"/>
  <c r="D98" i="10" s="1"/>
  <c r="C69" i="10"/>
  <c r="C99" i="10" s="1"/>
  <c r="AA99" i="10" s="1"/>
  <c r="D69" i="10"/>
  <c r="D99" i="10" s="1"/>
  <c r="C70" i="10"/>
  <c r="C100" i="10" s="1"/>
  <c r="AA100" i="10" s="1"/>
  <c r="D70" i="10"/>
  <c r="D100" i="10" s="1"/>
  <c r="C71" i="10"/>
  <c r="C101" i="10" s="1"/>
  <c r="AA101" i="10" s="1"/>
  <c r="D71" i="10"/>
  <c r="D101" i="10" s="1"/>
  <c r="C72" i="10"/>
  <c r="C102" i="10" s="1"/>
  <c r="AA102" i="10" s="1"/>
  <c r="D72" i="10"/>
  <c r="D102" i="10" s="1"/>
  <c r="C73" i="10"/>
  <c r="C103" i="10" s="1"/>
  <c r="AA103" i="10" s="1"/>
  <c r="D73" i="10"/>
  <c r="D103" i="10" s="1"/>
  <c r="C74" i="10"/>
  <c r="C104" i="10" s="1"/>
  <c r="AA104" i="10" s="1"/>
  <c r="D74" i="10"/>
  <c r="D104" i="10" s="1"/>
  <c r="C75" i="10"/>
  <c r="C105" i="10" s="1"/>
  <c r="AA105" i="10" s="1"/>
  <c r="D75" i="10"/>
  <c r="D105" i="10" s="1"/>
  <c r="C76" i="10"/>
  <c r="C106" i="10" s="1"/>
  <c r="AA106" i="10" s="1"/>
  <c r="D76" i="10"/>
  <c r="D106" i="10" s="1"/>
  <c r="C77" i="10"/>
  <c r="C107" i="10" s="1"/>
  <c r="AA107" i="10" s="1"/>
  <c r="D77" i="10"/>
  <c r="D107" i="10" s="1"/>
  <c r="C78" i="10"/>
  <c r="C108" i="10" s="1"/>
  <c r="AA108" i="10" s="1"/>
  <c r="D78" i="10"/>
  <c r="D108" i="10" s="1"/>
  <c r="C79" i="10"/>
  <c r="C109" i="10" s="1"/>
  <c r="AA109" i="10" s="1"/>
  <c r="D79" i="10"/>
  <c r="D109" i="10" s="1"/>
  <c r="C80" i="10"/>
  <c r="C110" i="10" s="1"/>
  <c r="AA110" i="10" s="1"/>
  <c r="D80" i="10"/>
  <c r="D110" i="10" s="1"/>
  <c r="C81" i="10"/>
  <c r="C111" i="10" s="1"/>
  <c r="AA111" i="10" s="1"/>
  <c r="D81" i="10"/>
  <c r="D111" i="10" s="1"/>
  <c r="C82" i="10"/>
  <c r="C112" i="10" s="1"/>
  <c r="AA112" i="10" s="1"/>
  <c r="D82" i="10"/>
  <c r="D112" i="10" s="1"/>
  <c r="C83" i="10"/>
  <c r="C113" i="10" s="1"/>
  <c r="AA113" i="10" s="1"/>
  <c r="D83" i="10"/>
  <c r="D113" i="10" s="1"/>
  <c r="C84" i="10"/>
  <c r="C114" i="10" s="1"/>
  <c r="AA114" i="10" s="1"/>
  <c r="D84" i="10"/>
  <c r="D114" i="10" s="1"/>
  <c r="D58" i="10"/>
  <c r="D88" i="10" s="1"/>
  <c r="C58" i="10"/>
  <c r="C88" i="10" s="1"/>
  <c r="L93" i="10"/>
  <c r="T88" i="10"/>
  <c r="S88" i="10"/>
  <c r="R88" i="10"/>
  <c r="Q88" i="10"/>
  <c r="O88" i="10"/>
  <c r="N88" i="10"/>
  <c r="P88" i="10"/>
  <c r="AY18" i="10"/>
  <c r="AY19" i="10"/>
  <c r="AY20" i="10"/>
  <c r="AY21" i="10"/>
  <c r="AY22" i="10"/>
  <c r="AY23" i="10"/>
  <c r="AY24" i="10"/>
  <c r="AY25" i="10"/>
  <c r="AY26" i="10"/>
  <c r="AY27" i="10"/>
  <c r="AY28" i="10"/>
  <c r="AY29" i="10"/>
  <c r="AY30" i="10"/>
  <c r="AY31" i="10"/>
  <c r="AY32" i="10"/>
  <c r="AY33" i="10"/>
  <c r="AY34" i="10"/>
  <c r="AY35" i="10"/>
  <c r="AY36" i="10"/>
  <c r="AY37" i="10"/>
  <c r="AY38" i="10"/>
  <c r="AY39" i="10"/>
  <c r="AY40" i="10"/>
  <c r="AY41" i="10"/>
  <c r="AY42" i="10"/>
  <c r="AY43" i="10"/>
  <c r="AY17" i="10"/>
  <c r="U88" i="10"/>
  <c r="AA89" i="10" l="1"/>
  <c r="AB89" i="10" s="1"/>
  <c r="Z18" i="10" s="1"/>
  <c r="AA88" i="10"/>
  <c r="AB111" i="10"/>
  <c r="Z40" i="10" s="1"/>
  <c r="AB113" i="10"/>
  <c r="Z42" i="10" s="1"/>
  <c r="AB109" i="10"/>
  <c r="Z38" i="10" s="1"/>
  <c r="AB107" i="10"/>
  <c r="Z36" i="10" s="1"/>
  <c r="AB105" i="10"/>
  <c r="Z34" i="10" s="1"/>
  <c r="AB103" i="10"/>
  <c r="Z32" i="10" s="1"/>
  <c r="AB101" i="10"/>
  <c r="Z30" i="10" s="1"/>
  <c r="AB99" i="10"/>
  <c r="Z28" i="10" s="1"/>
  <c r="AB97" i="10"/>
  <c r="Z26" i="10" s="1"/>
  <c r="AB114" i="10"/>
  <c r="Z43" i="10" s="1"/>
  <c r="AB112" i="10"/>
  <c r="Z41" i="10" s="1"/>
  <c r="AB110" i="10"/>
  <c r="Z39" i="10" s="1"/>
  <c r="AB108" i="10"/>
  <c r="Z37" i="10" s="1"/>
  <c r="AB106" i="10"/>
  <c r="Z35" i="10" s="1"/>
  <c r="AB104" i="10"/>
  <c r="Z33" i="10" s="1"/>
  <c r="AB102" i="10"/>
  <c r="Z31" i="10" s="1"/>
  <c r="AB100" i="10"/>
  <c r="Z29" i="10" s="1"/>
  <c r="AB98" i="10"/>
  <c r="Z27" i="10" s="1"/>
  <c r="AB96" i="10"/>
  <c r="Z25" i="10" s="1"/>
  <c r="AB92" i="10"/>
  <c r="Z21" i="10" s="1"/>
  <c r="AB90" i="10"/>
  <c r="Z19" i="10" s="1"/>
  <c r="AB93" i="10"/>
  <c r="Z22" i="10" s="1"/>
  <c r="AB91" i="10"/>
  <c r="Z20" i="10" s="1"/>
  <c r="AB95" i="10"/>
  <c r="Z24" i="10" s="1"/>
  <c r="AB94" i="10"/>
  <c r="Z23" i="10" s="1"/>
  <c r="F89" i="10" l="1"/>
  <c r="G89" i="10"/>
  <c r="H89" i="10"/>
  <c r="I89" i="10"/>
  <c r="J89" i="10"/>
  <c r="K89" i="10"/>
  <c r="L89" i="10"/>
  <c r="F90" i="10"/>
  <c r="G90" i="10"/>
  <c r="H90" i="10"/>
  <c r="I90" i="10"/>
  <c r="J90" i="10"/>
  <c r="K90" i="10"/>
  <c r="L90" i="10"/>
  <c r="F91" i="10"/>
  <c r="G91" i="10"/>
  <c r="H91" i="10"/>
  <c r="I91" i="10"/>
  <c r="J91" i="10"/>
  <c r="K91" i="10"/>
  <c r="L91" i="10"/>
  <c r="F92" i="10"/>
  <c r="G92" i="10"/>
  <c r="H92" i="10"/>
  <c r="I92" i="10"/>
  <c r="J92" i="10"/>
  <c r="K92" i="10"/>
  <c r="L92" i="10"/>
  <c r="F93" i="10"/>
  <c r="G93" i="10"/>
  <c r="H93" i="10"/>
  <c r="I93" i="10"/>
  <c r="J93" i="10"/>
  <c r="K93" i="10"/>
  <c r="F94" i="10"/>
  <c r="G94" i="10"/>
  <c r="H94" i="10"/>
  <c r="I94" i="10"/>
  <c r="J94" i="10"/>
  <c r="K94" i="10"/>
  <c r="L94" i="10"/>
  <c r="F95" i="10"/>
  <c r="G95" i="10"/>
  <c r="H95" i="10"/>
  <c r="I95" i="10"/>
  <c r="J95" i="10"/>
  <c r="K95" i="10"/>
  <c r="L95" i="10"/>
  <c r="F96" i="10"/>
  <c r="G96" i="10"/>
  <c r="H96" i="10"/>
  <c r="I96" i="10"/>
  <c r="J96" i="10"/>
  <c r="K96" i="10"/>
  <c r="L96" i="10"/>
  <c r="F97" i="10"/>
  <c r="G97" i="10"/>
  <c r="H97" i="10"/>
  <c r="I97" i="10"/>
  <c r="J97" i="10"/>
  <c r="K97" i="10"/>
  <c r="L97" i="10"/>
  <c r="F98" i="10"/>
  <c r="G98" i="10"/>
  <c r="H98" i="10"/>
  <c r="I98" i="10"/>
  <c r="J98" i="10"/>
  <c r="K98" i="10"/>
  <c r="L98" i="10"/>
  <c r="F99" i="10"/>
  <c r="G99" i="10"/>
  <c r="H99" i="10"/>
  <c r="I99" i="10"/>
  <c r="J99" i="10"/>
  <c r="K99" i="10"/>
  <c r="L99" i="10"/>
  <c r="F100" i="10"/>
  <c r="G100" i="10"/>
  <c r="H100" i="10"/>
  <c r="I100" i="10"/>
  <c r="J100" i="10"/>
  <c r="K100" i="10"/>
  <c r="L100" i="10"/>
  <c r="F101" i="10"/>
  <c r="G101" i="10"/>
  <c r="H101" i="10"/>
  <c r="I101" i="10"/>
  <c r="J101" i="10"/>
  <c r="K101" i="10"/>
  <c r="L101" i="10"/>
  <c r="F102" i="10"/>
  <c r="G102" i="10"/>
  <c r="H102" i="10"/>
  <c r="I102" i="10"/>
  <c r="J102" i="10"/>
  <c r="K102" i="10"/>
  <c r="L102" i="10"/>
  <c r="F103" i="10"/>
  <c r="G103" i="10"/>
  <c r="H103" i="10"/>
  <c r="I103" i="10"/>
  <c r="J103" i="10"/>
  <c r="K103" i="10"/>
  <c r="L103" i="10"/>
  <c r="F104" i="10"/>
  <c r="G104" i="10"/>
  <c r="H104" i="10"/>
  <c r="I104" i="10"/>
  <c r="J104" i="10"/>
  <c r="K104" i="10"/>
  <c r="L104" i="10"/>
  <c r="F105" i="10"/>
  <c r="G105" i="10"/>
  <c r="H105" i="10"/>
  <c r="I105" i="10"/>
  <c r="J105" i="10"/>
  <c r="K105" i="10"/>
  <c r="L105" i="10"/>
  <c r="F106" i="10"/>
  <c r="G106" i="10"/>
  <c r="H106" i="10"/>
  <c r="I106" i="10"/>
  <c r="J106" i="10"/>
  <c r="K106" i="10"/>
  <c r="L106" i="10"/>
  <c r="F107" i="10"/>
  <c r="G107" i="10"/>
  <c r="H107" i="10"/>
  <c r="I107" i="10"/>
  <c r="J107" i="10"/>
  <c r="K107" i="10"/>
  <c r="L107" i="10"/>
  <c r="F108" i="10"/>
  <c r="G108" i="10"/>
  <c r="H108" i="10"/>
  <c r="I108" i="10"/>
  <c r="J108" i="10"/>
  <c r="K108" i="10"/>
  <c r="L108" i="10"/>
  <c r="F109" i="10"/>
  <c r="G109" i="10"/>
  <c r="H109" i="10"/>
  <c r="I109" i="10"/>
  <c r="J109" i="10"/>
  <c r="K109" i="10"/>
  <c r="L109" i="10"/>
  <c r="F110" i="10"/>
  <c r="G110" i="10"/>
  <c r="H110" i="10"/>
  <c r="I110" i="10"/>
  <c r="J110" i="10"/>
  <c r="K110" i="10"/>
  <c r="L110" i="10"/>
  <c r="F111" i="10"/>
  <c r="G111" i="10"/>
  <c r="H111" i="10"/>
  <c r="I111" i="10"/>
  <c r="J111" i="10"/>
  <c r="K111" i="10"/>
  <c r="L111" i="10"/>
  <c r="F112" i="10"/>
  <c r="G112" i="10"/>
  <c r="H112" i="10"/>
  <c r="I112" i="10"/>
  <c r="J112" i="10"/>
  <c r="K112" i="10"/>
  <c r="L112" i="10"/>
  <c r="F113" i="10"/>
  <c r="G113" i="10"/>
  <c r="H113" i="10"/>
  <c r="I113" i="10"/>
  <c r="J113" i="10"/>
  <c r="K113" i="10"/>
  <c r="L113" i="10"/>
  <c r="F114" i="10"/>
  <c r="G114" i="10"/>
  <c r="H114" i="10"/>
  <c r="I114" i="10"/>
  <c r="J114" i="10"/>
  <c r="K114" i="10"/>
  <c r="L114" i="10"/>
  <c r="G88" i="10"/>
  <c r="H88" i="10"/>
  <c r="I88" i="10"/>
  <c r="J88" i="10"/>
  <c r="K88" i="10"/>
  <c r="L88" i="10"/>
  <c r="F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88" i="10"/>
  <c r="AI5" i="10"/>
  <c r="H7" i="3"/>
  <c r="G155" i="10"/>
  <c r="F155" i="10"/>
  <c r="E155" i="10"/>
  <c r="D155" i="10"/>
  <c r="C155" i="10"/>
  <c r="G154" i="10"/>
  <c r="R154" i="10" s="1"/>
  <c r="F154" i="10"/>
  <c r="E154" i="10"/>
  <c r="D154" i="10"/>
  <c r="C154" i="10"/>
  <c r="G153" i="10"/>
  <c r="F153" i="10"/>
  <c r="E153" i="10"/>
  <c r="D153" i="10"/>
  <c r="C153" i="10"/>
  <c r="G152" i="10"/>
  <c r="F152" i="10"/>
  <c r="E152" i="10"/>
  <c r="D152" i="10"/>
  <c r="C152" i="10"/>
  <c r="G151" i="10"/>
  <c r="S151" i="10" s="1"/>
  <c r="T151" i="10" s="1"/>
  <c r="F151" i="10"/>
  <c r="E151" i="10"/>
  <c r="D151" i="10"/>
  <c r="C151" i="10"/>
  <c r="G150" i="10"/>
  <c r="S150" i="10" s="1"/>
  <c r="T150" i="10" s="1"/>
  <c r="F150" i="10"/>
  <c r="E150" i="10"/>
  <c r="D150" i="10"/>
  <c r="C150" i="10"/>
  <c r="G149" i="10"/>
  <c r="S149" i="10" s="1"/>
  <c r="T149" i="10" s="1"/>
  <c r="F149" i="10"/>
  <c r="E149" i="10"/>
  <c r="D149" i="10"/>
  <c r="C149" i="10"/>
  <c r="G148" i="10"/>
  <c r="L148" i="10" s="1"/>
  <c r="M148" i="10" s="1"/>
  <c r="F148" i="10"/>
  <c r="E148" i="10"/>
  <c r="D148" i="10"/>
  <c r="C148" i="10"/>
  <c r="G147" i="10"/>
  <c r="L147" i="10" s="1"/>
  <c r="M147" i="10" s="1"/>
  <c r="F147" i="10"/>
  <c r="E147" i="10"/>
  <c r="D147" i="10"/>
  <c r="C147" i="10"/>
  <c r="G146" i="10"/>
  <c r="L146" i="10" s="1"/>
  <c r="M146" i="10" s="1"/>
  <c r="F146" i="10"/>
  <c r="E146" i="10"/>
  <c r="D146" i="10"/>
  <c r="C146" i="10"/>
  <c r="G145" i="10"/>
  <c r="L145" i="10" s="1"/>
  <c r="M145" i="10" s="1"/>
  <c r="F145" i="10"/>
  <c r="E145" i="10"/>
  <c r="D145" i="10"/>
  <c r="C145" i="10"/>
  <c r="G144" i="10"/>
  <c r="L144" i="10" s="1"/>
  <c r="M144" i="10" s="1"/>
  <c r="F144" i="10"/>
  <c r="E144" i="10"/>
  <c r="D144" i="10"/>
  <c r="C144" i="10"/>
  <c r="G143" i="10"/>
  <c r="L143" i="10" s="1"/>
  <c r="M143" i="10" s="1"/>
  <c r="F143" i="10"/>
  <c r="E143" i="10"/>
  <c r="D143" i="10"/>
  <c r="C143" i="10"/>
  <c r="G142" i="10"/>
  <c r="L142" i="10" s="1"/>
  <c r="M142" i="10" s="1"/>
  <c r="F142" i="10"/>
  <c r="E142" i="10"/>
  <c r="D142" i="10"/>
  <c r="C142" i="10"/>
  <c r="G141" i="10"/>
  <c r="L141" i="10" s="1"/>
  <c r="M141" i="10" s="1"/>
  <c r="F141" i="10"/>
  <c r="E141" i="10"/>
  <c r="D141" i="10"/>
  <c r="C141" i="10"/>
  <c r="G140" i="10"/>
  <c r="L140" i="10" s="1"/>
  <c r="M140" i="10" s="1"/>
  <c r="F140" i="10"/>
  <c r="E140" i="10"/>
  <c r="D140" i="10"/>
  <c r="C140" i="10"/>
  <c r="G139" i="10"/>
  <c r="L139" i="10" s="1"/>
  <c r="M139" i="10" s="1"/>
  <c r="F139" i="10"/>
  <c r="E139" i="10"/>
  <c r="D139" i="10"/>
  <c r="C139" i="10"/>
  <c r="G138" i="10"/>
  <c r="L138" i="10" s="1"/>
  <c r="M138" i="10" s="1"/>
  <c r="F138" i="10"/>
  <c r="E138" i="10"/>
  <c r="D138" i="10"/>
  <c r="C138" i="10"/>
  <c r="G137" i="10"/>
  <c r="L137" i="10" s="1"/>
  <c r="M137" i="10" s="1"/>
  <c r="F137" i="10"/>
  <c r="E137" i="10"/>
  <c r="D137" i="10"/>
  <c r="C137" i="10"/>
  <c r="G136" i="10"/>
  <c r="L136" i="10" s="1"/>
  <c r="M136" i="10" s="1"/>
  <c r="F136" i="10"/>
  <c r="E136" i="10"/>
  <c r="D136" i="10"/>
  <c r="C136" i="10"/>
  <c r="G135" i="10"/>
  <c r="L135" i="10" s="1"/>
  <c r="M135" i="10" s="1"/>
  <c r="F135" i="10"/>
  <c r="E135" i="10"/>
  <c r="D135" i="10"/>
  <c r="C135" i="10"/>
  <c r="G134" i="10"/>
  <c r="L134" i="10" s="1"/>
  <c r="M134" i="10" s="1"/>
  <c r="F134" i="10"/>
  <c r="E134" i="10"/>
  <c r="D134" i="10"/>
  <c r="C134" i="10"/>
  <c r="G133" i="10"/>
  <c r="L133" i="10" s="1"/>
  <c r="M133" i="10" s="1"/>
  <c r="F133" i="10"/>
  <c r="E133" i="10"/>
  <c r="D133" i="10"/>
  <c r="C133" i="10"/>
  <c r="G132" i="10"/>
  <c r="L132" i="10" s="1"/>
  <c r="M132" i="10" s="1"/>
  <c r="F132" i="10"/>
  <c r="E132" i="10"/>
  <c r="D132" i="10"/>
  <c r="C132" i="10"/>
  <c r="G131" i="10"/>
  <c r="L131" i="10" s="1"/>
  <c r="M131" i="10" s="1"/>
  <c r="F131" i="10"/>
  <c r="E131" i="10"/>
  <c r="D131" i="10"/>
  <c r="C131" i="10"/>
  <c r="G130" i="10"/>
  <c r="L130" i="10" s="1"/>
  <c r="M130" i="10" s="1"/>
  <c r="F130" i="10"/>
  <c r="E130" i="10"/>
  <c r="D130" i="10"/>
  <c r="C130" i="10"/>
  <c r="F129" i="10"/>
  <c r="G129" i="10" s="1"/>
  <c r="L129" i="10" s="1"/>
  <c r="M129" i="10" s="1"/>
  <c r="E129" i="10"/>
  <c r="D129" i="10"/>
  <c r="C129" i="10"/>
  <c r="F84" i="10"/>
  <c r="E84" i="10"/>
  <c r="G84" i="10" s="1"/>
  <c r="K84" i="10" s="1"/>
  <c r="O84" i="10"/>
  <c r="A84" i="10"/>
  <c r="F83" i="10"/>
  <c r="E83" i="10"/>
  <c r="O83" i="10"/>
  <c r="T83" i="10" s="1"/>
  <c r="A83" i="10"/>
  <c r="F82" i="10"/>
  <c r="E82" i="10"/>
  <c r="J82" i="10" s="1"/>
  <c r="M82" i="10" s="1"/>
  <c r="O82" i="10"/>
  <c r="A82" i="10"/>
  <c r="Y81" i="10"/>
  <c r="X81" i="10"/>
  <c r="F81" i="10"/>
  <c r="E81" i="10"/>
  <c r="J81" i="10" s="1"/>
  <c r="M81" i="10" s="1"/>
  <c r="O81" i="10"/>
  <c r="U81" i="10" s="1"/>
  <c r="A81" i="10"/>
  <c r="Y80" i="10"/>
  <c r="X80" i="10"/>
  <c r="F80" i="10"/>
  <c r="E80" i="10"/>
  <c r="J80" i="10" s="1"/>
  <c r="M80" i="10" s="1"/>
  <c r="O80" i="10"/>
  <c r="A80" i="10"/>
  <c r="Y79" i="10"/>
  <c r="X79" i="10"/>
  <c r="F79" i="10"/>
  <c r="E79" i="10"/>
  <c r="J79" i="10" s="1"/>
  <c r="M79" i="10" s="1"/>
  <c r="O79" i="10"/>
  <c r="R79" i="10" s="1"/>
  <c r="A79" i="10"/>
  <c r="Y78" i="10"/>
  <c r="X78" i="10"/>
  <c r="F78" i="10"/>
  <c r="E78" i="10"/>
  <c r="G78" i="10" s="1"/>
  <c r="K78" i="10" s="1"/>
  <c r="O78" i="10"/>
  <c r="A78" i="10"/>
  <c r="Y77" i="10"/>
  <c r="X77" i="10"/>
  <c r="F77" i="10"/>
  <c r="E77" i="10"/>
  <c r="J77" i="10" s="1"/>
  <c r="M77" i="10" s="1"/>
  <c r="O77" i="10"/>
  <c r="R77" i="10" s="1"/>
  <c r="A77" i="10"/>
  <c r="Y76" i="10"/>
  <c r="X76" i="10"/>
  <c r="F76" i="10"/>
  <c r="E76" i="10"/>
  <c r="J76" i="10" s="1"/>
  <c r="M76" i="10" s="1"/>
  <c r="O76" i="10"/>
  <c r="R76" i="10" s="1"/>
  <c r="A76" i="10"/>
  <c r="Y75" i="10"/>
  <c r="X75" i="10"/>
  <c r="F75" i="10"/>
  <c r="E75" i="10"/>
  <c r="J75" i="10" s="1"/>
  <c r="M75" i="10" s="1"/>
  <c r="O75" i="10"/>
  <c r="U75" i="10" s="1"/>
  <c r="A75" i="10"/>
  <c r="Y74" i="10"/>
  <c r="X74" i="10"/>
  <c r="F74" i="10"/>
  <c r="E74" i="10"/>
  <c r="G74" i="10" s="1"/>
  <c r="K74" i="10" s="1"/>
  <c r="O74" i="10"/>
  <c r="A74" i="10"/>
  <c r="Y73" i="10"/>
  <c r="X73" i="10"/>
  <c r="F73" i="10"/>
  <c r="E73" i="10"/>
  <c r="J73" i="10" s="1"/>
  <c r="M73" i="10" s="1"/>
  <c r="O73" i="10"/>
  <c r="T73" i="10" s="1"/>
  <c r="A73" i="10"/>
  <c r="Y72" i="10"/>
  <c r="X72" i="10"/>
  <c r="F72" i="10"/>
  <c r="E72" i="10"/>
  <c r="J72" i="10" s="1"/>
  <c r="M72" i="10" s="1"/>
  <c r="O72" i="10"/>
  <c r="A72" i="10"/>
  <c r="Y71" i="10"/>
  <c r="X71" i="10"/>
  <c r="F71" i="10"/>
  <c r="E71" i="10"/>
  <c r="J71" i="10" s="1"/>
  <c r="M71" i="10" s="1"/>
  <c r="O71" i="10"/>
  <c r="U71" i="10" s="1"/>
  <c r="A71" i="10"/>
  <c r="Y70" i="10"/>
  <c r="X70" i="10"/>
  <c r="F70" i="10"/>
  <c r="E70" i="10"/>
  <c r="G70" i="10" s="1"/>
  <c r="K70" i="10" s="1"/>
  <c r="O70" i="10"/>
  <c r="A70" i="10"/>
  <c r="Y69" i="10"/>
  <c r="X69" i="10"/>
  <c r="F69" i="10"/>
  <c r="E69" i="10"/>
  <c r="J69" i="10" s="1"/>
  <c r="M69" i="10" s="1"/>
  <c r="O69" i="10"/>
  <c r="T69" i="10" s="1"/>
  <c r="A69" i="10"/>
  <c r="Y68" i="10"/>
  <c r="X68" i="10"/>
  <c r="F68" i="10"/>
  <c r="E68" i="10"/>
  <c r="J68" i="10" s="1"/>
  <c r="M68" i="10" s="1"/>
  <c r="O68" i="10"/>
  <c r="U68" i="10" s="1"/>
  <c r="A68" i="10"/>
  <c r="Y67" i="10"/>
  <c r="X67" i="10"/>
  <c r="F67" i="10"/>
  <c r="E67" i="10"/>
  <c r="J67" i="10" s="1"/>
  <c r="M67" i="10" s="1"/>
  <c r="O67" i="10"/>
  <c r="U67" i="10" s="1"/>
  <c r="A67" i="10"/>
  <c r="Y66" i="10"/>
  <c r="X66" i="10"/>
  <c r="F66" i="10"/>
  <c r="E66" i="10"/>
  <c r="G66" i="10" s="1"/>
  <c r="K66" i="10" s="1"/>
  <c r="O66" i="10"/>
  <c r="U66" i="10" s="1"/>
  <c r="A66" i="10"/>
  <c r="Y65" i="10"/>
  <c r="X65" i="10"/>
  <c r="F65" i="10"/>
  <c r="E65" i="10"/>
  <c r="O65" i="10"/>
  <c r="A65" i="10"/>
  <c r="Y64" i="10"/>
  <c r="X64" i="10"/>
  <c r="F64" i="10"/>
  <c r="E64" i="10"/>
  <c r="J64" i="10" s="1"/>
  <c r="M64" i="10" s="1"/>
  <c r="O64" i="10"/>
  <c r="P64" i="10" s="1"/>
  <c r="A64" i="10"/>
  <c r="Y63" i="10"/>
  <c r="X63" i="10"/>
  <c r="F63" i="10"/>
  <c r="E63" i="10"/>
  <c r="J63" i="10" s="1"/>
  <c r="M63" i="10" s="1"/>
  <c r="A63" i="10"/>
  <c r="Y62" i="10"/>
  <c r="X62" i="10"/>
  <c r="F62" i="10"/>
  <c r="E62" i="10"/>
  <c r="J62" i="10" s="1"/>
  <c r="M62" i="10" s="1"/>
  <c r="A62" i="10"/>
  <c r="Y61" i="10"/>
  <c r="X61" i="10"/>
  <c r="F61" i="10"/>
  <c r="E61" i="10"/>
  <c r="G61" i="10" s="1"/>
  <c r="K61" i="10" s="1"/>
  <c r="A61" i="10"/>
  <c r="Y60" i="10"/>
  <c r="X60" i="10"/>
  <c r="F60" i="10"/>
  <c r="E60" i="10"/>
  <c r="J60" i="10" s="1"/>
  <c r="M60" i="10" s="1"/>
  <c r="A60" i="10"/>
  <c r="Y59" i="10"/>
  <c r="X59" i="10"/>
  <c r="F59" i="10"/>
  <c r="E59" i="10"/>
  <c r="J59" i="10" s="1"/>
  <c r="M59" i="10" s="1"/>
  <c r="A59" i="10"/>
  <c r="Y58" i="10"/>
  <c r="X58" i="10"/>
  <c r="F58" i="10"/>
  <c r="E58" i="10"/>
  <c r="J58" i="10" s="1"/>
  <c r="M58" i="10" s="1"/>
  <c r="A58" i="10"/>
  <c r="BF43" i="10"/>
  <c r="BC43" i="10"/>
  <c r="AW43" i="10"/>
  <c r="AV43" i="10"/>
  <c r="AU43" i="10"/>
  <c r="AC43" i="10"/>
  <c r="BE43" i="10" s="1"/>
  <c r="BF42" i="10"/>
  <c r="BC42" i="10"/>
  <c r="AW42" i="10"/>
  <c r="AV42" i="10"/>
  <c r="AU42" i="10"/>
  <c r="AN42" i="10"/>
  <c r="AC42" i="10"/>
  <c r="BF41" i="10"/>
  <c r="BC41" i="10"/>
  <c r="AW41" i="10"/>
  <c r="AV41" i="10"/>
  <c r="AU41" i="10"/>
  <c r="AC41" i="10"/>
  <c r="BH41" i="10" s="1"/>
  <c r="BF40" i="10"/>
  <c r="BC40" i="10"/>
  <c r="AW40" i="10"/>
  <c r="AV40" i="10"/>
  <c r="AU40" i="10"/>
  <c r="AC40" i="10"/>
  <c r="BF39" i="10"/>
  <c r="BC39" i="10"/>
  <c r="AW39" i="10"/>
  <c r="AV39" i="10"/>
  <c r="AU39" i="10"/>
  <c r="AC39" i="10"/>
  <c r="BE39" i="10" s="1"/>
  <c r="BF38" i="10"/>
  <c r="BC38" i="10"/>
  <c r="AW38" i="10"/>
  <c r="AV38" i="10"/>
  <c r="AU38" i="10"/>
  <c r="AC38" i="10"/>
  <c r="BF37" i="10"/>
  <c r="BC37" i="10"/>
  <c r="AW37" i="10"/>
  <c r="AV37" i="10"/>
  <c r="AU37" i="10"/>
  <c r="AC37" i="10"/>
  <c r="BH37" i="10" s="1"/>
  <c r="BF36" i="10"/>
  <c r="BC36" i="10"/>
  <c r="AW36" i="10"/>
  <c r="AV36" i="10"/>
  <c r="AU36" i="10"/>
  <c r="AC36" i="10"/>
  <c r="BF35" i="10"/>
  <c r="BC35" i="10"/>
  <c r="AW35" i="10"/>
  <c r="AV35" i="10"/>
  <c r="AU35" i="10"/>
  <c r="AC35" i="10"/>
  <c r="BE35" i="10" s="1"/>
  <c r="BF34" i="10"/>
  <c r="BC34" i="10"/>
  <c r="AW34" i="10"/>
  <c r="AV34" i="10"/>
  <c r="AU34" i="10"/>
  <c r="AN34" i="10"/>
  <c r="AC34" i="10"/>
  <c r="BF33" i="10"/>
  <c r="BC33" i="10"/>
  <c r="AW33" i="10"/>
  <c r="AV33" i="10"/>
  <c r="AU33" i="10"/>
  <c r="AC33" i="10"/>
  <c r="BH33" i="10" s="1"/>
  <c r="BF32" i="10"/>
  <c r="BC32" i="10"/>
  <c r="AW32" i="10"/>
  <c r="AV32" i="10"/>
  <c r="AU32" i="10"/>
  <c r="AC32" i="10"/>
  <c r="BF31" i="10"/>
  <c r="BC31" i="10"/>
  <c r="AW31" i="10"/>
  <c r="AV31" i="10"/>
  <c r="AU31" i="10"/>
  <c r="AC31" i="10"/>
  <c r="BE31" i="10" s="1"/>
  <c r="BF30" i="10"/>
  <c r="BC30" i="10"/>
  <c r="AW30" i="10"/>
  <c r="AV30" i="10"/>
  <c r="AU30" i="10"/>
  <c r="AC30" i="10"/>
  <c r="BF29" i="10"/>
  <c r="BC29" i="10"/>
  <c r="AW29" i="10"/>
  <c r="AV29" i="10"/>
  <c r="AU29" i="10"/>
  <c r="AC29" i="10"/>
  <c r="BH29" i="10" s="1"/>
  <c r="BF28" i="10"/>
  <c r="BC28" i="10"/>
  <c r="AW28" i="10"/>
  <c r="AV28" i="10"/>
  <c r="AU28" i="10"/>
  <c r="AN28" i="10"/>
  <c r="AC28" i="10"/>
  <c r="BF27" i="10"/>
  <c r="BC27" i="10"/>
  <c r="AW27" i="10"/>
  <c r="AV27" i="10"/>
  <c r="AU27" i="10"/>
  <c r="AC27" i="10"/>
  <c r="AZ27" i="10" s="1"/>
  <c r="BF26" i="10"/>
  <c r="BC26" i="10"/>
  <c r="AW26" i="10"/>
  <c r="AV26" i="10"/>
  <c r="AU26" i="10"/>
  <c r="AC26" i="10"/>
  <c r="BF25" i="10"/>
  <c r="BC25" i="10"/>
  <c r="AW25" i="10"/>
  <c r="AV25" i="10"/>
  <c r="AU25" i="10"/>
  <c r="AC25" i="10"/>
  <c r="BF24" i="10"/>
  <c r="BC24" i="10"/>
  <c r="AW24" i="10"/>
  <c r="AV24" i="10"/>
  <c r="AU24" i="10"/>
  <c r="AN24" i="10"/>
  <c r="AC24" i="10"/>
  <c r="BE24" i="10" s="1"/>
  <c r="BF23" i="10"/>
  <c r="BC23" i="10"/>
  <c r="AW23" i="10"/>
  <c r="AV23" i="10"/>
  <c r="AU23" i="10"/>
  <c r="AC23" i="10"/>
  <c r="AE23" i="10" s="1"/>
  <c r="AF23" i="10" s="1"/>
  <c r="BF22" i="10"/>
  <c r="BC22" i="10"/>
  <c r="AW22" i="10"/>
  <c r="AV22" i="10"/>
  <c r="AU22" i="10"/>
  <c r="AN22" i="10"/>
  <c r="AC22" i="10"/>
  <c r="BE22" i="10" s="1"/>
  <c r="BF21" i="10"/>
  <c r="BC21" i="10"/>
  <c r="AW21" i="10"/>
  <c r="AV21" i="10"/>
  <c r="AU21" i="10"/>
  <c r="AC21" i="10"/>
  <c r="BE21" i="10" s="1"/>
  <c r="BF20" i="10"/>
  <c r="BC20" i="10"/>
  <c r="AW20" i="10"/>
  <c r="AV20" i="10"/>
  <c r="AU20" i="10"/>
  <c r="AC20" i="10"/>
  <c r="BF19" i="10"/>
  <c r="BC19" i="10"/>
  <c r="AW19" i="10"/>
  <c r="AV19" i="10"/>
  <c r="AU19" i="10"/>
  <c r="AC19" i="10"/>
  <c r="BE19" i="10" s="1"/>
  <c r="BF18" i="10"/>
  <c r="BC18" i="10"/>
  <c r="AW18" i="10"/>
  <c r="AV18" i="10"/>
  <c r="AU18" i="10"/>
  <c r="AP35" i="6"/>
  <c r="AC18" i="10"/>
  <c r="AX18" i="10" s="1"/>
  <c r="BF17" i="10"/>
  <c r="BC17" i="10"/>
  <c r="AW17" i="10"/>
  <c r="AV17" i="10"/>
  <c r="AU17" i="10"/>
  <c r="AC17" i="10"/>
  <c r="AH7" i="10"/>
  <c r="AH8" i="10" s="1"/>
  <c r="AI8" i="10" s="1"/>
  <c r="AN8" i="10" s="1"/>
  <c r="AH6" i="10"/>
  <c r="AI6" i="10" s="1"/>
  <c r="AN6" i="10" s="1"/>
  <c r="AI4" i="10"/>
  <c r="X15" i="1"/>
  <c r="BH17" i="10" l="1"/>
  <c r="R148" i="10"/>
  <c r="H81" i="10"/>
  <c r="L81" i="10" s="1"/>
  <c r="R139" i="10"/>
  <c r="S142" i="10"/>
  <c r="T142" i="10" s="1"/>
  <c r="BG35" i="10"/>
  <c r="AE31" i="10"/>
  <c r="AF31" i="10" s="1"/>
  <c r="G68" i="10"/>
  <c r="K68" i="10" s="1"/>
  <c r="J70" i="10"/>
  <c r="M70" i="10" s="1"/>
  <c r="G71" i="10"/>
  <c r="K71" i="10" s="1"/>
  <c r="H74" i="10"/>
  <c r="L74" i="10" s="1"/>
  <c r="S135" i="10"/>
  <c r="T135" i="10" s="1"/>
  <c r="J66" i="10"/>
  <c r="M66" i="10" s="1"/>
  <c r="H68" i="10"/>
  <c r="L68" i="10" s="1"/>
  <c r="H71" i="10"/>
  <c r="L71" i="10" s="1"/>
  <c r="G72" i="10"/>
  <c r="K72" i="10" s="1"/>
  <c r="R135" i="10"/>
  <c r="S140" i="10"/>
  <c r="T140" i="10" s="1"/>
  <c r="H153" i="10"/>
  <c r="J153" i="10" s="1"/>
  <c r="P153" i="10" s="1"/>
  <c r="Q153" i="10" s="1"/>
  <c r="AX29" i="10"/>
  <c r="BG31" i="10"/>
  <c r="AD29" i="10"/>
  <c r="BE29" i="10"/>
  <c r="BG29" i="10" s="1"/>
  <c r="AE39" i="10"/>
  <c r="AI39" i="10" s="1"/>
  <c r="AZ39" i="10"/>
  <c r="AE29" i="10"/>
  <c r="AF29" i="10" s="1"/>
  <c r="AE35" i="10"/>
  <c r="AF35" i="10" s="1"/>
  <c r="AZ35" i="10"/>
  <c r="BH31" i="10"/>
  <c r="AZ19" i="10"/>
  <c r="AZ31" i="10"/>
  <c r="BH43" i="10"/>
  <c r="R134" i="10"/>
  <c r="S137" i="10"/>
  <c r="T137" i="10" s="1"/>
  <c r="AZ23" i="10"/>
  <c r="AZ29" i="10"/>
  <c r="BG39" i="10"/>
  <c r="BH39" i="10"/>
  <c r="AE43" i="10"/>
  <c r="AF43" i="10" s="1"/>
  <c r="AZ43" i="10"/>
  <c r="H59" i="10"/>
  <c r="L59" i="10" s="1"/>
  <c r="H61" i="10"/>
  <c r="L61" i="10" s="1"/>
  <c r="G62" i="10"/>
  <c r="K62" i="10" s="1"/>
  <c r="H64" i="10"/>
  <c r="L64" i="10" s="1"/>
  <c r="J74" i="10"/>
  <c r="M74" i="10" s="1"/>
  <c r="G75" i="10"/>
  <c r="K75" i="10" s="1"/>
  <c r="H78" i="10"/>
  <c r="L78" i="10" s="1"/>
  <c r="J84" i="10"/>
  <c r="M84" i="10" s="1"/>
  <c r="R130" i="10"/>
  <c r="H133" i="10"/>
  <c r="J133" i="10" s="1"/>
  <c r="P133" i="10" s="1"/>
  <c r="Q133" i="10" s="1"/>
  <c r="R133" i="10"/>
  <c r="H134" i="10"/>
  <c r="J134" i="10" s="1"/>
  <c r="P134" i="10" s="1"/>
  <c r="Q134" i="10" s="1"/>
  <c r="S134" i="10"/>
  <c r="T134" i="10" s="1"/>
  <c r="S139" i="10"/>
  <c r="T139" i="10" s="1"/>
  <c r="S141" i="10"/>
  <c r="T141" i="10" s="1"/>
  <c r="H147" i="10"/>
  <c r="J147" i="10" s="1"/>
  <c r="P147" i="10" s="1"/>
  <c r="Q147" i="10" s="1"/>
  <c r="R147" i="10"/>
  <c r="S148" i="10"/>
  <c r="T148" i="10" s="1"/>
  <c r="R150" i="10"/>
  <c r="BG19" i="10"/>
  <c r="BH35" i="10"/>
  <c r="H62" i="10"/>
  <c r="L62" i="10" s="1"/>
  <c r="H75" i="10"/>
  <c r="L75" i="10" s="1"/>
  <c r="J78" i="10"/>
  <c r="M78" i="10" s="1"/>
  <c r="G79" i="10"/>
  <c r="K79" i="10" s="1"/>
  <c r="G81" i="10"/>
  <c r="K81" i="10" s="1"/>
  <c r="S133" i="10"/>
  <c r="T133" i="10" s="1"/>
  <c r="S136" i="10"/>
  <c r="T136" i="10" s="1"/>
  <c r="R138" i="10"/>
  <c r="S147" i="10"/>
  <c r="T147" i="10" s="1"/>
  <c r="H155" i="10"/>
  <c r="J155" i="10" s="1"/>
  <c r="P155" i="10" s="1"/>
  <c r="Q155" i="10" s="1"/>
  <c r="BG21" i="10"/>
  <c r="R72" i="10"/>
  <c r="U72" i="10"/>
  <c r="BH27" i="10"/>
  <c r="AZ21" i="10"/>
  <c r="BH23" i="10"/>
  <c r="BE27" i="10"/>
  <c r="BG27" i="10" s="1"/>
  <c r="AD37" i="10"/>
  <c r="AX37" i="10"/>
  <c r="BE37" i="10"/>
  <c r="BG37" i="10" s="1"/>
  <c r="AD41" i="10"/>
  <c r="AX41" i="10"/>
  <c r="BE41" i="10"/>
  <c r="BG41" i="10" s="1"/>
  <c r="H129" i="10"/>
  <c r="J129" i="10" s="1"/>
  <c r="O129" i="10" s="1"/>
  <c r="R129" i="10"/>
  <c r="H130" i="10"/>
  <c r="J130" i="10" s="1"/>
  <c r="P130" i="10" s="1"/>
  <c r="Q130" i="10" s="1"/>
  <c r="H131" i="10"/>
  <c r="J131" i="10" s="1"/>
  <c r="O131" i="10" s="1"/>
  <c r="H132" i="10"/>
  <c r="J132" i="10" s="1"/>
  <c r="P132" i="10" s="1"/>
  <c r="Q132" i="10" s="1"/>
  <c r="R132" i="10"/>
  <c r="S138" i="10"/>
  <c r="T138" i="10" s="1"/>
  <c r="H144" i="10"/>
  <c r="J144" i="10" s="1"/>
  <c r="O144" i="10" s="1"/>
  <c r="H145" i="10"/>
  <c r="J145" i="10" s="1"/>
  <c r="O145" i="10" s="1"/>
  <c r="H146" i="10"/>
  <c r="J146" i="10" s="1"/>
  <c r="P146" i="10" s="1"/>
  <c r="Q146" i="10" s="1"/>
  <c r="R146" i="10"/>
  <c r="AZ25" i="10"/>
  <c r="AD25" i="10"/>
  <c r="BH25" i="10"/>
  <c r="AD33" i="10"/>
  <c r="AX33" i="10"/>
  <c r="BE33" i="10"/>
  <c r="BG33" i="10" s="1"/>
  <c r="AV44" i="10"/>
  <c r="BH19" i="10"/>
  <c r="AD21" i="10"/>
  <c r="BH21" i="10"/>
  <c r="AD23" i="10"/>
  <c r="AX23" i="10"/>
  <c r="BE23" i="10"/>
  <c r="BG23" i="10" s="1"/>
  <c r="AE25" i="10"/>
  <c r="AT25" i="10" s="1"/>
  <c r="AX25" i="10"/>
  <c r="BE25" i="10"/>
  <c r="BG25" i="10" s="1"/>
  <c r="AE27" i="10"/>
  <c r="AI27" i="10" s="1"/>
  <c r="AE33" i="10"/>
  <c r="AF33" i="10" s="1"/>
  <c r="AE37" i="10"/>
  <c r="AF37" i="10" s="1"/>
  <c r="AE41" i="10"/>
  <c r="AF41" i="10" s="1"/>
  <c r="G67" i="10"/>
  <c r="K67" i="10" s="1"/>
  <c r="G76" i="10"/>
  <c r="K76" i="10" s="1"/>
  <c r="G82" i="10"/>
  <c r="K82" i="10" s="1"/>
  <c r="S129" i="10"/>
  <c r="R131" i="10"/>
  <c r="S132" i="10"/>
  <c r="T132" i="10" s="1"/>
  <c r="H137" i="10"/>
  <c r="J137" i="10" s="1"/>
  <c r="P137" i="10" s="1"/>
  <c r="Q137" i="10" s="1"/>
  <c r="H141" i="10"/>
  <c r="J141" i="10" s="1"/>
  <c r="O141" i="10" s="1"/>
  <c r="H143" i="10"/>
  <c r="J143" i="10" s="1"/>
  <c r="O143" i="10" s="1"/>
  <c r="R143" i="10"/>
  <c r="R144" i="10"/>
  <c r="R145" i="10"/>
  <c r="S146" i="10"/>
  <c r="T146" i="10" s="1"/>
  <c r="H150" i="10"/>
  <c r="J150" i="10" s="1"/>
  <c r="O150" i="10" s="1"/>
  <c r="K150" i="10"/>
  <c r="H151" i="10"/>
  <c r="J151" i="10" s="1"/>
  <c r="O151" i="10" s="1"/>
  <c r="K151" i="10"/>
  <c r="H154" i="10"/>
  <c r="J154" i="10" s="1"/>
  <c r="P154" i="10" s="1"/>
  <c r="Q154" i="10" s="1"/>
  <c r="L154" i="10"/>
  <c r="M154" i="10" s="1"/>
  <c r="AI7" i="10"/>
  <c r="AN7" i="10" s="1"/>
  <c r="BA40" i="10" s="1"/>
  <c r="AD27" i="10"/>
  <c r="AX27" i="10"/>
  <c r="AR45" i="10"/>
  <c r="AW44" i="10"/>
  <c r="AD19" i="10"/>
  <c r="AX19" i="10"/>
  <c r="AX21" i="10"/>
  <c r="AD31" i="10"/>
  <c r="AX31" i="10"/>
  <c r="AZ33" i="10"/>
  <c r="AD35" i="10"/>
  <c r="AX35" i="10"/>
  <c r="AZ37" i="10"/>
  <c r="AD39" i="10"/>
  <c r="AX39" i="10"/>
  <c r="AZ41" i="10"/>
  <c r="BG43" i="10"/>
  <c r="G59" i="10"/>
  <c r="K59" i="10" s="1"/>
  <c r="G63" i="10"/>
  <c r="K63" i="10" s="1"/>
  <c r="G64" i="10"/>
  <c r="K64" i="10" s="1"/>
  <c r="H67" i="10"/>
  <c r="L67" i="10" s="1"/>
  <c r="H70" i="10"/>
  <c r="L70" i="10" s="1"/>
  <c r="H84" i="10"/>
  <c r="L84" i="10" s="1"/>
  <c r="S130" i="10"/>
  <c r="T130" i="10" s="1"/>
  <c r="S131" i="10"/>
  <c r="T131" i="10" s="1"/>
  <c r="H135" i="10"/>
  <c r="J135" i="10" s="1"/>
  <c r="O135" i="10" s="1"/>
  <c r="H136" i="10"/>
  <c r="J136" i="10" s="1"/>
  <c r="P136" i="10" s="1"/>
  <c r="Q136" i="10" s="1"/>
  <c r="R136" i="10"/>
  <c r="R137" i="10"/>
  <c r="H138" i="10"/>
  <c r="J138" i="10" s="1"/>
  <c r="P138" i="10" s="1"/>
  <c r="Q138" i="10" s="1"/>
  <c r="H139" i="10"/>
  <c r="J139" i="10" s="1"/>
  <c r="O139" i="10" s="1"/>
  <c r="H140" i="10"/>
  <c r="J140" i="10" s="1"/>
  <c r="P140" i="10" s="1"/>
  <c r="Q140" i="10" s="1"/>
  <c r="R140" i="10"/>
  <c r="R141" i="10"/>
  <c r="H142" i="10"/>
  <c r="J142" i="10" s="1"/>
  <c r="P142" i="10" s="1"/>
  <c r="Q142" i="10" s="1"/>
  <c r="R142" i="10"/>
  <c r="S143" i="10"/>
  <c r="T143" i="10" s="1"/>
  <c r="S144" i="10"/>
  <c r="T144" i="10" s="1"/>
  <c r="S145" i="10"/>
  <c r="T145" i="10" s="1"/>
  <c r="H148" i="10"/>
  <c r="J148" i="10" s="1"/>
  <c r="O148" i="10" s="1"/>
  <c r="H149" i="10"/>
  <c r="J149" i="10" s="1"/>
  <c r="P149" i="10" s="1"/>
  <c r="Q149" i="10" s="1"/>
  <c r="R149" i="10"/>
  <c r="L150" i="10"/>
  <c r="M150" i="10" s="1"/>
  <c r="H152" i="10"/>
  <c r="J152" i="10" s="1"/>
  <c r="P152" i="10" s="1"/>
  <c r="Q152" i="10" s="1"/>
  <c r="AN18" i="10"/>
  <c r="AN30" i="10"/>
  <c r="AN38" i="10"/>
  <c r="T77" i="10"/>
  <c r="AN20" i="10"/>
  <c r="AN21" i="10"/>
  <c r="AN26" i="10"/>
  <c r="AN32" i="10"/>
  <c r="AN36" i="10"/>
  <c r="AN40" i="10"/>
  <c r="R66" i="10"/>
  <c r="R69" i="10"/>
  <c r="R73" i="10"/>
  <c r="U79" i="10"/>
  <c r="U76" i="10"/>
  <c r="T79" i="10"/>
  <c r="G58" i="10"/>
  <c r="K58" i="10" s="1"/>
  <c r="H58" i="10"/>
  <c r="L58" i="10" s="1"/>
  <c r="AD17" i="10"/>
  <c r="BE17" i="10"/>
  <c r="BG17" i="10" s="1"/>
  <c r="AX17" i="10"/>
  <c r="AZ17" i="10"/>
  <c r="BB41" i="10"/>
  <c r="BB39" i="10"/>
  <c r="BB37" i="10"/>
  <c r="BB35" i="10"/>
  <c r="BB33" i="10"/>
  <c r="BB31" i="10"/>
  <c r="BB29" i="10"/>
  <c r="BB27" i="10"/>
  <c r="BB23" i="10"/>
  <c r="BB21" i="10"/>
  <c r="BB25" i="10"/>
  <c r="BB17" i="10"/>
  <c r="BB19" i="10"/>
  <c r="BB18" i="10"/>
  <c r="BH20" i="10"/>
  <c r="BH18" i="10"/>
  <c r="AD20" i="10"/>
  <c r="BE20" i="10"/>
  <c r="BG20" i="10" s="1"/>
  <c r="AN19" i="10"/>
  <c r="AZ20" i="10"/>
  <c r="AN27" i="10"/>
  <c r="AN29" i="10"/>
  <c r="AN31" i="10"/>
  <c r="BE36" i="10"/>
  <c r="BG36" i="10" s="1"/>
  <c r="AZ36" i="10"/>
  <c r="BH36" i="10"/>
  <c r="AE36" i="10"/>
  <c r="AT36" i="10" s="1"/>
  <c r="BB36" i="10"/>
  <c r="AX36" i="10"/>
  <c r="AD36" i="10"/>
  <c r="AN39" i="10"/>
  <c r="R82" i="10"/>
  <c r="U82" i="10"/>
  <c r="T82" i="10"/>
  <c r="P82" i="10"/>
  <c r="BC44" i="10"/>
  <c r="AD18" i="10"/>
  <c r="AZ18" i="10"/>
  <c r="BE18" i="10"/>
  <c r="BG18" i="10" s="1"/>
  <c r="AI23" i="10"/>
  <c r="AN25" i="10"/>
  <c r="BE34" i="10"/>
  <c r="BG34" i="10" s="1"/>
  <c r="AZ34" i="10"/>
  <c r="BH34" i="10"/>
  <c r="AE34" i="10"/>
  <c r="AO34" i="10" s="1"/>
  <c r="BB34" i="10"/>
  <c r="AX34" i="10"/>
  <c r="AD34" i="10"/>
  <c r="AN37" i="10"/>
  <c r="BE42" i="10"/>
  <c r="BG42" i="10" s="1"/>
  <c r="AZ42" i="10"/>
  <c r="BH42" i="10"/>
  <c r="AE42" i="10"/>
  <c r="AT42" i="10" s="1"/>
  <c r="BB42" i="10"/>
  <c r="AX42" i="10"/>
  <c r="AD42" i="10"/>
  <c r="AN43" i="10"/>
  <c r="H60" i="10"/>
  <c r="L60" i="10" s="1"/>
  <c r="G60" i="10"/>
  <c r="K60" i="10" s="1"/>
  <c r="R68" i="10"/>
  <c r="T68" i="10"/>
  <c r="P68" i="10"/>
  <c r="K155" i="10"/>
  <c r="S155" i="10"/>
  <c r="T155" i="10" s="1"/>
  <c r="L155" i="10"/>
  <c r="M155" i="10" s="1"/>
  <c r="R155" i="10"/>
  <c r="AS45" i="10"/>
  <c r="H65" i="10"/>
  <c r="L65" i="10" s="1"/>
  <c r="G65" i="10"/>
  <c r="K65" i="10" s="1"/>
  <c r="J65" i="10"/>
  <c r="M65" i="10" s="1"/>
  <c r="U80" i="10"/>
  <c r="P80" i="10"/>
  <c r="T80" i="10"/>
  <c r="R80" i="10"/>
  <c r="AU44" i="10"/>
  <c r="AY44" i="10"/>
  <c r="AX20" i="10"/>
  <c r="BB20" i="10"/>
  <c r="BH22" i="10"/>
  <c r="BB22" i="10"/>
  <c r="AX22" i="10"/>
  <c r="AD22" i="10"/>
  <c r="AZ22" i="10"/>
  <c r="BG22" i="10"/>
  <c r="AL23" i="10"/>
  <c r="BH24" i="10"/>
  <c r="AE24" i="10"/>
  <c r="AT24" i="10" s="1"/>
  <c r="BB24" i="10"/>
  <c r="AX24" i="10"/>
  <c r="AD24" i="10"/>
  <c r="AZ24" i="10"/>
  <c r="BG24" i="10"/>
  <c r="BE32" i="10"/>
  <c r="BG32" i="10" s="1"/>
  <c r="AZ32" i="10"/>
  <c r="BH32" i="10"/>
  <c r="AE32" i="10"/>
  <c r="AL32" i="10" s="1"/>
  <c r="BB32" i="10"/>
  <c r="AX32" i="10"/>
  <c r="AD32" i="10"/>
  <c r="AN35" i="10"/>
  <c r="BE40" i="10"/>
  <c r="BG40" i="10" s="1"/>
  <c r="AZ40" i="10"/>
  <c r="BH40" i="10"/>
  <c r="AE40" i="10"/>
  <c r="AO40" i="10" s="1"/>
  <c r="BB40" i="10"/>
  <c r="AX40" i="10"/>
  <c r="AD40" i="10"/>
  <c r="U84" i="10"/>
  <c r="P84" i="10"/>
  <c r="T84" i="10"/>
  <c r="R84" i="10"/>
  <c r="AN23" i="10"/>
  <c r="AT23" i="10"/>
  <c r="BE26" i="10"/>
  <c r="BG26" i="10" s="1"/>
  <c r="AZ26" i="10"/>
  <c r="BH26" i="10"/>
  <c r="AE26" i="10"/>
  <c r="BB26" i="10"/>
  <c r="AX26" i="10"/>
  <c r="AD26" i="10"/>
  <c r="BE28" i="10"/>
  <c r="BG28" i="10" s="1"/>
  <c r="AZ28" i="10"/>
  <c r="BH28" i="10"/>
  <c r="AE28" i="10"/>
  <c r="AO28" i="10" s="1"/>
  <c r="AS28" i="10" s="1"/>
  <c r="BB28" i="10"/>
  <c r="AX28" i="10"/>
  <c r="AD28" i="10"/>
  <c r="BE30" i="10"/>
  <c r="BG30" i="10" s="1"/>
  <c r="AZ30" i="10"/>
  <c r="BH30" i="10"/>
  <c r="AE30" i="10"/>
  <c r="AO30" i="10" s="1"/>
  <c r="BB30" i="10"/>
  <c r="AX30" i="10"/>
  <c r="AD30" i="10"/>
  <c r="AN33" i="10"/>
  <c r="BE38" i="10"/>
  <c r="BG38" i="10" s="1"/>
  <c r="AZ38" i="10"/>
  <c r="BH38" i="10"/>
  <c r="AE38" i="10"/>
  <c r="AO38" i="10" s="1"/>
  <c r="AS38" i="10" s="1"/>
  <c r="BB38" i="10"/>
  <c r="AX38" i="10"/>
  <c r="AD38" i="10"/>
  <c r="AN41" i="10"/>
  <c r="BB43" i="10"/>
  <c r="R64" i="10"/>
  <c r="U64" i="10"/>
  <c r="T64" i="10"/>
  <c r="AC44" i="10"/>
  <c r="J61" i="10"/>
  <c r="M61" i="10" s="1"/>
  <c r="N61" i="10" s="1"/>
  <c r="Q61" i="10" s="1"/>
  <c r="U65" i="10"/>
  <c r="P65" i="10"/>
  <c r="U70" i="10"/>
  <c r="P70" i="10"/>
  <c r="T70" i="10"/>
  <c r="U74" i="10"/>
  <c r="P74" i="10"/>
  <c r="T74" i="10"/>
  <c r="U78" i="10"/>
  <c r="P78" i="10"/>
  <c r="T78" i="10"/>
  <c r="H83" i="10"/>
  <c r="L83" i="10" s="1"/>
  <c r="G83" i="10"/>
  <c r="K83" i="10" s="1"/>
  <c r="S152" i="10"/>
  <c r="T152" i="10" s="1"/>
  <c r="R152" i="10"/>
  <c r="L152" i="10"/>
  <c r="M152" i="10" s="1"/>
  <c r="K152" i="10"/>
  <c r="AO23" i="10"/>
  <c r="AS23" i="10" s="1"/>
  <c r="H63" i="10"/>
  <c r="L63" i="10" s="1"/>
  <c r="R65" i="10"/>
  <c r="T67" i="10"/>
  <c r="R67" i="10"/>
  <c r="P67" i="10"/>
  <c r="H69" i="10"/>
  <c r="L69" i="10" s="1"/>
  <c r="G69" i="10"/>
  <c r="K69" i="10" s="1"/>
  <c r="R70" i="10"/>
  <c r="P72" i="10"/>
  <c r="H73" i="10"/>
  <c r="L73" i="10" s="1"/>
  <c r="G73" i="10"/>
  <c r="K73" i="10" s="1"/>
  <c r="R74" i="10"/>
  <c r="P76" i="10"/>
  <c r="H77" i="10"/>
  <c r="L77" i="10" s="1"/>
  <c r="G77" i="10"/>
  <c r="K77" i="10" s="1"/>
  <c r="R78" i="10"/>
  <c r="T81" i="10"/>
  <c r="R81" i="10"/>
  <c r="P81" i="10"/>
  <c r="U83" i="10"/>
  <c r="P83" i="10"/>
  <c r="AD43" i="10"/>
  <c r="AX43" i="10"/>
  <c r="T65" i="10"/>
  <c r="H66" i="10"/>
  <c r="L66" i="10" s="1"/>
  <c r="U69" i="10"/>
  <c r="P69" i="10"/>
  <c r="T71" i="10"/>
  <c r="R71" i="10"/>
  <c r="P71" i="10"/>
  <c r="T72" i="10"/>
  <c r="U73" i="10"/>
  <c r="P73" i="10"/>
  <c r="T75" i="10"/>
  <c r="R75" i="10"/>
  <c r="P75" i="10"/>
  <c r="T76" i="10"/>
  <c r="U77" i="10"/>
  <c r="P77" i="10"/>
  <c r="P79" i="10"/>
  <c r="H80" i="10"/>
  <c r="L80" i="10" s="1"/>
  <c r="G80" i="10"/>
  <c r="K80" i="10" s="1"/>
  <c r="J83" i="10"/>
  <c r="M83" i="10" s="1"/>
  <c r="R83" i="10"/>
  <c r="K153" i="10"/>
  <c r="S153" i="10"/>
  <c r="T153" i="10" s="1"/>
  <c r="L153" i="10"/>
  <c r="M153" i="10" s="1"/>
  <c r="R153" i="10"/>
  <c r="T66" i="10"/>
  <c r="H72" i="10"/>
  <c r="L72" i="10" s="1"/>
  <c r="H76" i="10"/>
  <c r="L76" i="10" s="1"/>
  <c r="N76" i="10" s="1"/>
  <c r="Q76" i="10" s="1"/>
  <c r="H79" i="10"/>
  <c r="L79" i="10" s="1"/>
  <c r="H82" i="10"/>
  <c r="L82" i="10" s="1"/>
  <c r="K129" i="10"/>
  <c r="K130" i="10"/>
  <c r="K131" i="10"/>
  <c r="K132" i="10"/>
  <c r="K133" i="10"/>
  <c r="K134" i="10"/>
  <c r="K135" i="10"/>
  <c r="K136" i="10"/>
  <c r="K137" i="10"/>
  <c r="K138" i="10"/>
  <c r="K139" i="10"/>
  <c r="K140" i="10"/>
  <c r="K141" i="10"/>
  <c r="K142" i="10"/>
  <c r="K143" i="10"/>
  <c r="K144" i="10"/>
  <c r="K145" i="10"/>
  <c r="K146" i="10"/>
  <c r="K147" i="10"/>
  <c r="K148" i="10"/>
  <c r="K149" i="10"/>
  <c r="L151" i="10"/>
  <c r="M151" i="10" s="1"/>
  <c r="R151" i="10"/>
  <c r="K154" i="10"/>
  <c r="S154" i="10"/>
  <c r="T154" i="10" s="1"/>
  <c r="P66" i="10"/>
  <c r="L149" i="10"/>
  <c r="M149" i="10" s="1"/>
  <c r="N84" i="10" l="1"/>
  <c r="Q84" i="10" s="1"/>
  <c r="O147" i="10"/>
  <c r="O153" i="10"/>
  <c r="O154" i="10"/>
  <c r="O133" i="10"/>
  <c r="AL39" i="10"/>
  <c r="AO27" i="10"/>
  <c r="AS27" i="10" s="1"/>
  <c r="AT39" i="10"/>
  <c r="AL35" i="10"/>
  <c r="AO31" i="10"/>
  <c r="AS31" i="10" s="1"/>
  <c r="AL41" i="10"/>
  <c r="AI35" i="10"/>
  <c r="AO41" i="10"/>
  <c r="AS41" i="10" s="1"/>
  <c r="AT35" i="10"/>
  <c r="AO35" i="10"/>
  <c r="AS35" i="10" s="1"/>
  <c r="AI41" i="10"/>
  <c r="AL29" i="10"/>
  <c r="AO39" i="10"/>
  <c r="AS39" i="10" s="1"/>
  <c r="T129" i="10"/>
  <c r="T156" i="10" s="1"/>
  <c r="AI31" i="10"/>
  <c r="AL31" i="10"/>
  <c r="AE20" i="10"/>
  <c r="AO20" i="10" s="1"/>
  <c r="AS20" i="10" s="1"/>
  <c r="O61" i="10"/>
  <c r="AT27" i="10"/>
  <c r="BA20" i="10"/>
  <c r="BA38" i="10"/>
  <c r="BJ38" i="10" s="1"/>
  <c r="N64" i="10"/>
  <c r="Q64" i="10" s="1"/>
  <c r="BA17" i="10"/>
  <c r="BA25" i="10"/>
  <c r="N70" i="10"/>
  <c r="Q70" i="10" s="1"/>
  <c r="N79" i="10"/>
  <c r="Q79" i="10" s="1"/>
  <c r="AT31" i="10"/>
  <c r="AI37" i="10"/>
  <c r="N66" i="10"/>
  <c r="Q66" i="10" s="1"/>
  <c r="AO25" i="10"/>
  <c r="AS25" i="10" s="1"/>
  <c r="P129" i="10"/>
  <c r="Q129" i="10" s="1"/>
  <c r="O152" i="10"/>
  <c r="AI33" i="10"/>
  <c r="N81" i="10"/>
  <c r="Q81" i="10" s="1"/>
  <c r="V81" i="10" s="1"/>
  <c r="P151" i="10"/>
  <c r="Q151" i="10" s="1"/>
  <c r="P144" i="10"/>
  <c r="Q144" i="10" s="1"/>
  <c r="O134" i="10"/>
  <c r="N74" i="10"/>
  <c r="Q74" i="10" s="1"/>
  <c r="N68" i="10"/>
  <c r="Q68" i="10" s="1"/>
  <c r="V68" i="10" s="1"/>
  <c r="AL38" i="10"/>
  <c r="AI29" i="10"/>
  <c r="AO33" i="10"/>
  <c r="AS33" i="10" s="1"/>
  <c r="AT38" i="10"/>
  <c r="N72" i="10"/>
  <c r="Q72" i="10" s="1"/>
  <c r="V72" i="10" s="1"/>
  <c r="AT29" i="10"/>
  <c r="AF25" i="10"/>
  <c r="AL33" i="10"/>
  <c r="AO29" i="10"/>
  <c r="AS29" i="10" s="1"/>
  <c r="AI25" i="10"/>
  <c r="AT33" i="10"/>
  <c r="P148" i="10"/>
  <c r="Q148" i="10" s="1"/>
  <c r="N59" i="10"/>
  <c r="N75" i="10"/>
  <c r="Q75" i="10" s="1"/>
  <c r="V75" i="10" s="1"/>
  <c r="N78" i="10"/>
  <c r="Q78" i="10" s="1"/>
  <c r="V78" i="10" s="1"/>
  <c r="N62" i="10"/>
  <c r="N71" i="10"/>
  <c r="Q71" i="10" s="1"/>
  <c r="P143" i="10"/>
  <c r="Q143" i="10" s="1"/>
  <c r="P145" i="10"/>
  <c r="Q145" i="10" s="1"/>
  <c r="N67" i="10"/>
  <c r="Q67" i="10" s="1"/>
  <c r="V67" i="10" s="1"/>
  <c r="AL43" i="10"/>
  <c r="AF39" i="10"/>
  <c r="AT41" i="10"/>
  <c r="O130" i="10"/>
  <c r="AL42" i="10"/>
  <c r="O138" i="10"/>
  <c r="BA24" i="10"/>
  <c r="N82" i="10"/>
  <c r="Q82" i="10" s="1"/>
  <c r="AO43" i="10"/>
  <c r="AS43" i="10" s="1"/>
  <c r="P135" i="10"/>
  <c r="Q135" i="10" s="1"/>
  <c r="BA21" i="10"/>
  <c r="BA36" i="10"/>
  <c r="BA31" i="10"/>
  <c r="AI43" i="10"/>
  <c r="P141" i="10"/>
  <c r="Q141" i="10" s="1"/>
  <c r="O137" i="10"/>
  <c r="AT43" i="10"/>
  <c r="AL30" i="10"/>
  <c r="AL28" i="10"/>
  <c r="AL37" i="10"/>
  <c r="O149" i="10"/>
  <c r="P150" i="10"/>
  <c r="Q150" i="10" s="1"/>
  <c r="O146" i="10"/>
  <c r="O155" i="10"/>
  <c r="AT37" i="10"/>
  <c r="AL25" i="10"/>
  <c r="AO37" i="10"/>
  <c r="AS37" i="10" s="1"/>
  <c r="O132" i="10"/>
  <c r="O140" i="10"/>
  <c r="O136" i="10"/>
  <c r="AL27" i="10"/>
  <c r="P131" i="10"/>
  <c r="Q131" i="10" s="1"/>
  <c r="P139" i="10"/>
  <c r="Q139" i="10" s="1"/>
  <c r="BA41" i="10"/>
  <c r="BA33" i="10"/>
  <c r="BA30" i="10"/>
  <c r="BA22" i="10"/>
  <c r="N58" i="10"/>
  <c r="AE17" i="10" s="1"/>
  <c r="O34" i="6" s="1"/>
  <c r="P34" i="6" s="1"/>
  <c r="M156" i="10"/>
  <c r="S156" i="10"/>
  <c r="N63" i="10"/>
  <c r="AF27" i="10"/>
  <c r="AL24" i="10"/>
  <c r="BA39" i="10"/>
  <c r="BA29" i="10"/>
  <c r="O142" i="10"/>
  <c r="BA26" i="10"/>
  <c r="BA34" i="10"/>
  <c r="BA32" i="10"/>
  <c r="BA43" i="10"/>
  <c r="BA35" i="10"/>
  <c r="BA37" i="10"/>
  <c r="BA18" i="10"/>
  <c r="BA27" i="10"/>
  <c r="BA23" i="10"/>
  <c r="BJ23" i="10" s="1"/>
  <c r="BA19" i="10"/>
  <c r="BA28" i="10"/>
  <c r="BJ28" i="10" s="1"/>
  <c r="BA42" i="10"/>
  <c r="AT28" i="10"/>
  <c r="V64" i="10"/>
  <c r="N80" i="10"/>
  <c r="Q80" i="10" s="1"/>
  <c r="V80" i="10" s="1"/>
  <c r="AX44" i="10"/>
  <c r="AL34" i="10"/>
  <c r="BH44" i="10"/>
  <c r="N77" i="10"/>
  <c r="Q77" i="10" s="1"/>
  <c r="V77" i="10" s="1"/>
  <c r="N73" i="10"/>
  <c r="Q73" i="10" s="1"/>
  <c r="V73" i="10" s="1"/>
  <c r="N69" i="10"/>
  <c r="Q69" i="10" s="1"/>
  <c r="V69" i="10" s="1"/>
  <c r="AZ44" i="10"/>
  <c r="BG44" i="10"/>
  <c r="AF26" i="10"/>
  <c r="AI26" i="10"/>
  <c r="AL40" i="10"/>
  <c r="AF32" i="10"/>
  <c r="AI32" i="10"/>
  <c r="AD44" i="10"/>
  <c r="AF36" i="10"/>
  <c r="AI36" i="10"/>
  <c r="V66" i="10"/>
  <c r="N83" i="10"/>
  <c r="Q83" i="10" s="1"/>
  <c r="V83" i="10" s="1"/>
  <c r="V79" i="10"/>
  <c r="AF38" i="10"/>
  <c r="AI38" i="10"/>
  <c r="AF28" i="10"/>
  <c r="AI28" i="10"/>
  <c r="AT26" i="10"/>
  <c r="AS40" i="10"/>
  <c r="BJ40" i="10" s="1"/>
  <c r="AT40" i="10"/>
  <c r="AT32" i="10"/>
  <c r="AI24" i="10"/>
  <c r="AF24" i="10"/>
  <c r="N60" i="10"/>
  <c r="AF42" i="10"/>
  <c r="AI42" i="10"/>
  <c r="AL36" i="10"/>
  <c r="V70" i="10"/>
  <c r="AF30" i="10"/>
  <c r="AI30" i="10"/>
  <c r="AO26" i="10"/>
  <c r="AS26" i="10" s="1"/>
  <c r="AO32" i="10"/>
  <c r="AS32" i="10" s="1"/>
  <c r="N65" i="10"/>
  <c r="Q65" i="10" s="1"/>
  <c r="V65" i="10" s="1"/>
  <c r="AF34" i="10"/>
  <c r="AI34" i="10"/>
  <c r="AO36" i="10"/>
  <c r="BC45" i="10"/>
  <c r="AL26" i="10"/>
  <c r="AF40" i="10"/>
  <c r="AI40" i="10"/>
  <c r="L156" i="10"/>
  <c r="V71" i="10"/>
  <c r="V76" i="10"/>
  <c r="V74" i="10"/>
  <c r="AS30" i="10"/>
  <c r="AT30" i="10"/>
  <c r="V84" i="10"/>
  <c r="AO42" i="10"/>
  <c r="AS42" i="10" s="1"/>
  <c r="AS34" i="10"/>
  <c r="AT34" i="10"/>
  <c r="AO24" i="10"/>
  <c r="AS24" i="10" s="1"/>
  <c r="V82" i="10"/>
  <c r="BJ27" i="10" l="1"/>
  <c r="BJ31" i="10"/>
  <c r="AI20" i="10"/>
  <c r="BJ39" i="10"/>
  <c r="AF20" i="10"/>
  <c r="BJ41" i="10"/>
  <c r="BJ35" i="10"/>
  <c r="BJ25" i="10"/>
  <c r="BJ20" i="10"/>
  <c r="AT20" i="10"/>
  <c r="AL20" i="10"/>
  <c r="Q63" i="10"/>
  <c r="O63" i="10"/>
  <c r="AE22" i="10"/>
  <c r="Q62" i="10"/>
  <c r="O62" i="10"/>
  <c r="AE21" i="10"/>
  <c r="U61" i="10"/>
  <c r="P61" i="10"/>
  <c r="T61" i="10"/>
  <c r="R61" i="10"/>
  <c r="BJ29" i="10"/>
  <c r="O58" i="10"/>
  <c r="T58" i="10" s="1"/>
  <c r="BJ43" i="10"/>
  <c r="Q60" i="10"/>
  <c r="O60" i="10"/>
  <c r="AE19" i="10"/>
  <c r="Q59" i="10"/>
  <c r="O59" i="10"/>
  <c r="AE18" i="10"/>
  <c r="O35" i="6" s="1"/>
  <c r="P35" i="6" s="1"/>
  <c r="Q58" i="10"/>
  <c r="BJ24" i="10"/>
  <c r="BJ34" i="10"/>
  <c r="BB45" i="10"/>
  <c r="BJ30" i="10"/>
  <c r="BJ33" i="10"/>
  <c r="BJ32" i="10"/>
  <c r="BJ37" i="10"/>
  <c r="AO17" i="10"/>
  <c r="Q156" i="10"/>
  <c r="AL17" i="10"/>
  <c r="P156" i="10"/>
  <c r="BJ42" i="10"/>
  <c r="AT17" i="10"/>
  <c r="AF17" i="10"/>
  <c r="AI17" i="10"/>
  <c r="BJ26" i="10"/>
  <c r="AS36" i="10"/>
  <c r="BJ36" i="10" s="1"/>
  <c r="J6" i="9"/>
  <c r="J3" i="9"/>
  <c r="AS17" i="10" l="1"/>
  <c r="P58" i="10"/>
  <c r="AO22" i="10"/>
  <c r="AS22" i="10" s="1"/>
  <c r="BJ22" i="10" s="1"/>
  <c r="AL22" i="10"/>
  <c r="AI22" i="10"/>
  <c r="AT22" i="10"/>
  <c r="AF22" i="10"/>
  <c r="T63" i="10"/>
  <c r="R63" i="10"/>
  <c r="U63" i="10"/>
  <c r="P63" i="10"/>
  <c r="AF21" i="10"/>
  <c r="AO21" i="10"/>
  <c r="AS21" i="10" s="1"/>
  <c r="BJ21" i="10" s="1"/>
  <c r="AT21" i="10"/>
  <c r="AL21" i="10"/>
  <c r="AI21" i="10"/>
  <c r="P62" i="10"/>
  <c r="U62" i="10"/>
  <c r="T62" i="10"/>
  <c r="R62" i="10"/>
  <c r="V61" i="10"/>
  <c r="U58" i="10"/>
  <c r="R58" i="10"/>
  <c r="Q85" i="10"/>
  <c r="AO18" i="10"/>
  <c r="AI18" i="10"/>
  <c r="AF18" i="10"/>
  <c r="AT18" i="10"/>
  <c r="AL18" i="10"/>
  <c r="AL19" i="10"/>
  <c r="AI19" i="10"/>
  <c r="AO19" i="10"/>
  <c r="AS19" i="10" s="1"/>
  <c r="BJ19" i="10" s="1"/>
  <c r="AF19" i="10"/>
  <c r="AT19" i="10"/>
  <c r="T59" i="10"/>
  <c r="P59" i="10"/>
  <c r="R59" i="10"/>
  <c r="U59" i="10"/>
  <c r="U60" i="10"/>
  <c r="T60" i="10"/>
  <c r="P60" i="10"/>
  <c r="R60" i="10"/>
  <c r="M51" i="2"/>
  <c r="M50" i="2"/>
  <c r="M49" i="2"/>
  <c r="M48" i="2"/>
  <c r="M47" i="2"/>
  <c r="M46" i="2"/>
  <c r="M45" i="2"/>
  <c r="M44" i="2"/>
  <c r="M43" i="2"/>
  <c r="M42" i="2"/>
  <c r="M41" i="2"/>
  <c r="M40" i="2"/>
  <c r="D40" i="2"/>
  <c r="F40" i="2" s="1"/>
  <c r="X16" i="1"/>
  <c r="AJ24" i="10" l="1"/>
  <c r="AK24" i="10" s="1"/>
  <c r="AG17" i="10"/>
  <c r="AG18" i="10"/>
  <c r="AH18" i="10" s="1"/>
  <c r="V62" i="10"/>
  <c r="V58" i="10"/>
  <c r="V63" i="10"/>
  <c r="V59" i="10"/>
  <c r="P85" i="10"/>
  <c r="T85" i="10"/>
  <c r="AG24" i="10"/>
  <c r="AH24" i="10" s="1"/>
  <c r="AT44" i="10"/>
  <c r="AG23" i="10"/>
  <c r="AH23" i="10" s="1"/>
  <c r="AJ19" i="10"/>
  <c r="AK19" i="10" s="1"/>
  <c r="AG21" i="10"/>
  <c r="AH21" i="10" s="1"/>
  <c r="U85" i="10"/>
  <c r="AG20" i="10"/>
  <c r="AH20" i="10" s="1"/>
  <c r="R85" i="10"/>
  <c r="AL44" i="10"/>
  <c r="AJ23" i="10"/>
  <c r="AK23" i="10" s="1"/>
  <c r="AJ18" i="10"/>
  <c r="AK18" i="10" s="1"/>
  <c r="AJ17" i="10"/>
  <c r="AJ22" i="10"/>
  <c r="AK22" i="10" s="1"/>
  <c r="AJ20" i="10"/>
  <c r="AK20" i="10" s="1"/>
  <c r="AJ21" i="10"/>
  <c r="AK21" i="10" s="1"/>
  <c r="AG22" i="10"/>
  <c r="AH22" i="10" s="1"/>
  <c r="V60" i="10"/>
  <c r="AS18" i="10"/>
  <c r="AO44" i="10"/>
  <c r="AG19" i="10"/>
  <c r="AH19" i="10" s="1"/>
  <c r="C36" i="3"/>
  <c r="AF6" i="1"/>
  <c r="AH17" i="10" l="1"/>
  <c r="AH44" i="10" s="1"/>
  <c r="AK17" i="10"/>
  <c r="V85" i="10"/>
  <c r="S85" i="10"/>
  <c r="BJ18" i="10"/>
  <c r="AT45" i="10"/>
  <c r="N6" i="6"/>
  <c r="N7" i="6"/>
  <c r="N8" i="6"/>
  <c r="N9" i="6"/>
  <c r="N10" i="6"/>
  <c r="N11" i="6"/>
  <c r="N12" i="6"/>
  <c r="N13" i="6"/>
  <c r="N14" i="6"/>
  <c r="N15" i="6"/>
  <c r="N16" i="6"/>
  <c r="N17" i="6"/>
  <c r="N18" i="6"/>
  <c r="N19" i="6"/>
  <c r="N20" i="6"/>
  <c r="N21" i="6"/>
  <c r="N22" i="6"/>
  <c r="N23" i="6"/>
  <c r="N24" i="6"/>
  <c r="N25" i="6"/>
  <c r="N26" i="6"/>
  <c r="N27" i="6"/>
  <c r="AL45" i="10" l="1"/>
  <c r="AK44" i="10"/>
  <c r="AI45" i="10"/>
  <c r="H4" i="6"/>
  <c r="H12" i="6"/>
  <c r="H13" i="6"/>
  <c r="H14" i="6"/>
  <c r="H15" i="6"/>
  <c r="H16" i="6"/>
  <c r="H17" i="6"/>
  <c r="H18" i="6"/>
  <c r="H19" i="6"/>
  <c r="H20" i="6"/>
  <c r="H21" i="6"/>
  <c r="H22" i="6"/>
  <c r="H23" i="6"/>
  <c r="H24" i="6"/>
  <c r="H25" i="6"/>
  <c r="H26" i="6"/>
  <c r="H27" i="6"/>
  <c r="H28" i="6"/>
  <c r="H29" i="6"/>
  <c r="H30" i="6"/>
  <c r="H7" i="6"/>
  <c r="H8" i="6"/>
  <c r="H9" i="6"/>
  <c r="H10" i="6"/>
  <c r="H11" i="6"/>
  <c r="H5" i="6"/>
  <c r="H6" i="6"/>
  <c r="N4" i="6"/>
  <c r="N5" i="6"/>
  <c r="N28" i="6"/>
  <c r="N29" i="6"/>
  <c r="N30" i="6"/>
  <c r="B18" i="6"/>
  <c r="C18" i="6"/>
  <c r="B19" i="6"/>
  <c r="C19" i="6"/>
  <c r="B20" i="6"/>
  <c r="C20" i="6"/>
  <c r="B21" i="6"/>
  <c r="C21" i="6"/>
  <c r="B22" i="6"/>
  <c r="C22" i="6"/>
  <c r="B23" i="6"/>
  <c r="C23" i="6"/>
  <c r="B24" i="6"/>
  <c r="C24" i="6"/>
  <c r="B25" i="6"/>
  <c r="C25" i="6"/>
  <c r="B26" i="6"/>
  <c r="C26" i="6"/>
  <c r="B27" i="6"/>
  <c r="C27" i="6"/>
  <c r="B28" i="6"/>
  <c r="C28" i="6"/>
  <c r="B29" i="6"/>
  <c r="C29" i="6"/>
  <c r="B30" i="6"/>
  <c r="C30" i="6"/>
  <c r="B4" i="6"/>
  <c r="B5" i="6"/>
  <c r="B6" i="6"/>
  <c r="B7" i="6"/>
  <c r="B8" i="6"/>
  <c r="B9" i="6"/>
  <c r="B10" i="6"/>
  <c r="B11" i="6"/>
  <c r="B12" i="6"/>
  <c r="B13" i="6"/>
  <c r="B14" i="6"/>
  <c r="B15" i="6"/>
  <c r="B16" i="6"/>
  <c r="B17" i="6"/>
  <c r="C17" i="6"/>
  <c r="G30" i="6"/>
  <c r="G29" i="6"/>
  <c r="G28" i="6"/>
  <c r="G27" i="6"/>
  <c r="G26" i="6"/>
  <c r="G25" i="6"/>
  <c r="G24" i="6"/>
  <c r="G23" i="6"/>
  <c r="G22" i="6"/>
  <c r="G21" i="6"/>
  <c r="G20" i="6"/>
  <c r="G19" i="6"/>
  <c r="G18" i="6"/>
  <c r="G16" i="6"/>
  <c r="G15" i="6"/>
  <c r="G14" i="6"/>
  <c r="G13" i="6"/>
  <c r="G12" i="6"/>
  <c r="G11" i="6"/>
  <c r="G10" i="6"/>
  <c r="G9" i="6"/>
  <c r="G8" i="6"/>
  <c r="G7" i="6"/>
  <c r="G6" i="6"/>
  <c r="G5" i="6"/>
  <c r="G4" i="6"/>
  <c r="G17" i="6"/>
  <c r="Y85" i="1" l="1"/>
  <c r="B59" i="1"/>
  <c r="B60" i="1"/>
  <c r="B61" i="1"/>
  <c r="B62" i="1"/>
  <c r="B63" i="1"/>
  <c r="B64" i="1"/>
  <c r="B65" i="1"/>
  <c r="B66" i="1"/>
  <c r="B67" i="1"/>
  <c r="B68" i="1"/>
  <c r="B69" i="1"/>
  <c r="B70" i="1"/>
  <c r="B71" i="1"/>
  <c r="N71" i="1" s="1"/>
  <c r="T71" i="1" s="1"/>
  <c r="B72" i="1"/>
  <c r="N72" i="1" s="1"/>
  <c r="T72" i="1" s="1"/>
  <c r="B73" i="1"/>
  <c r="N73" i="1" s="1"/>
  <c r="T73" i="1" s="1"/>
  <c r="B74" i="1"/>
  <c r="N74" i="1" s="1"/>
  <c r="T74" i="1" s="1"/>
  <c r="B75" i="1"/>
  <c r="N75" i="1" s="1"/>
  <c r="T75" i="1" s="1"/>
  <c r="B76" i="1"/>
  <c r="N76" i="1" s="1"/>
  <c r="T76" i="1" s="1"/>
  <c r="B77" i="1"/>
  <c r="N77" i="1" s="1"/>
  <c r="T77" i="1" s="1"/>
  <c r="B78" i="1"/>
  <c r="N78" i="1" s="1"/>
  <c r="T78" i="1" s="1"/>
  <c r="B79" i="1"/>
  <c r="N79" i="1" s="1"/>
  <c r="T79" i="1" s="1"/>
  <c r="B80" i="1"/>
  <c r="N80" i="1" s="1"/>
  <c r="T80" i="1" s="1"/>
  <c r="B81" i="1"/>
  <c r="N81" i="1" s="1"/>
  <c r="T81" i="1" s="1"/>
  <c r="B82" i="1"/>
  <c r="N82" i="1" s="1"/>
  <c r="T82" i="1" s="1"/>
  <c r="B83" i="1"/>
  <c r="N83" i="1" s="1"/>
  <c r="T83" i="1" s="1"/>
  <c r="B84" i="1"/>
  <c r="N84" i="1" s="1"/>
  <c r="T84" i="1" s="1"/>
  <c r="C59" i="1"/>
  <c r="C60" i="1"/>
  <c r="C61" i="1"/>
  <c r="C62" i="1"/>
  <c r="C63" i="1"/>
  <c r="C64" i="1"/>
  <c r="C65" i="1"/>
  <c r="C66" i="1"/>
  <c r="C67" i="1"/>
  <c r="C68" i="1"/>
  <c r="C69" i="1"/>
  <c r="C70" i="1"/>
  <c r="C71" i="1"/>
  <c r="C72" i="1"/>
  <c r="C73" i="1"/>
  <c r="C74" i="1"/>
  <c r="C75" i="1"/>
  <c r="C76" i="1"/>
  <c r="C77" i="1"/>
  <c r="C78" i="1"/>
  <c r="C79" i="1"/>
  <c r="C80" i="1"/>
  <c r="C81" i="1"/>
  <c r="C82" i="1"/>
  <c r="C83" i="1"/>
  <c r="C84" i="1"/>
  <c r="C58" i="1"/>
  <c r="B58" i="1"/>
  <c r="M2" i="5" l="1"/>
  <c r="L2" i="5"/>
  <c r="Q2" i="5"/>
  <c r="P2" i="5"/>
  <c r="G40" i="2"/>
  <c r="F3" i="7" s="1"/>
  <c r="G41" i="2"/>
  <c r="F4" i="7" s="1"/>
  <c r="G42" i="2"/>
  <c r="F5" i="7" s="1"/>
  <c r="G43" i="2"/>
  <c r="F6" i="7" s="1"/>
  <c r="G45" i="2"/>
  <c r="F8" i="7" s="1"/>
  <c r="G46" i="2"/>
  <c r="F9" i="7" s="1"/>
  <c r="G47" i="2"/>
  <c r="F10" i="7" s="1"/>
  <c r="G48" i="2"/>
  <c r="F11" i="7" s="1"/>
  <c r="G49" i="2"/>
  <c r="F12" i="7" s="1"/>
  <c r="G50" i="2"/>
  <c r="F13" i="7" s="1"/>
  <c r="G51" i="2"/>
  <c r="F14" i="7" s="1"/>
  <c r="G44" i="2"/>
  <c r="F7" i="7" s="1"/>
  <c r="D41" i="2"/>
  <c r="E41" i="2" s="1"/>
  <c r="D42" i="2"/>
  <c r="F42" i="2" s="1"/>
  <c r="E5" i="7" s="1"/>
  <c r="D43" i="2"/>
  <c r="F43" i="2" s="1"/>
  <c r="E6" i="7" s="1"/>
  <c r="D44" i="2"/>
  <c r="E44" i="2" s="1"/>
  <c r="D7" i="7" s="1"/>
  <c r="D45" i="2"/>
  <c r="F45" i="2" s="1"/>
  <c r="E8" i="7" s="1"/>
  <c r="D46" i="2"/>
  <c r="E46" i="2" s="1"/>
  <c r="D9" i="7" s="1"/>
  <c r="D47" i="2"/>
  <c r="F47" i="2" s="1"/>
  <c r="E10" i="7" s="1"/>
  <c r="D48" i="2"/>
  <c r="F48" i="2" s="1"/>
  <c r="E11" i="7" s="1"/>
  <c r="D49" i="2"/>
  <c r="E49" i="2" s="1"/>
  <c r="D12" i="7" s="1"/>
  <c r="D50" i="2"/>
  <c r="F50" i="2" s="1"/>
  <c r="E13" i="7" s="1"/>
  <c r="D51" i="2"/>
  <c r="E51" i="2" s="1"/>
  <c r="D14" i="7" s="1"/>
  <c r="E40" i="2"/>
  <c r="F41" i="2"/>
  <c r="E4" i="7" s="1"/>
  <c r="F46" i="2"/>
  <c r="E9" i="7" s="1"/>
  <c r="K144" i="1"/>
  <c r="L161" i="10" s="1"/>
  <c r="J184" i="10" s="1"/>
  <c r="T184" i="10" s="1"/>
  <c r="K145" i="1"/>
  <c r="J144" i="1"/>
  <c r="D144" i="1"/>
  <c r="E161" i="10" s="1"/>
  <c r="C184" i="10" s="1"/>
  <c r="N184" i="10" s="1"/>
  <c r="F145" i="1"/>
  <c r="AS44" i="1"/>
  <c r="Q4" i="6"/>
  <c r="P17" i="6"/>
  <c r="P18" i="6"/>
  <c r="P19" i="6"/>
  <c r="P20" i="6"/>
  <c r="P21" i="6"/>
  <c r="P22" i="6"/>
  <c r="P23" i="6"/>
  <c r="P24" i="6"/>
  <c r="P25" i="6"/>
  <c r="P26" i="6"/>
  <c r="P27" i="6"/>
  <c r="P28" i="6"/>
  <c r="P29" i="6"/>
  <c r="P30" i="6"/>
  <c r="O17" i="6"/>
  <c r="O18" i="6"/>
  <c r="O19" i="6"/>
  <c r="O20" i="6"/>
  <c r="O21" i="6"/>
  <c r="O22" i="6"/>
  <c r="O23" i="6"/>
  <c r="O24" i="6"/>
  <c r="O25" i="6"/>
  <c r="O26" i="6"/>
  <c r="O27" i="6"/>
  <c r="O28" i="6"/>
  <c r="O29" i="6"/>
  <c r="O30" i="6"/>
  <c r="E30" i="6"/>
  <c r="E29" i="6"/>
  <c r="E28" i="6"/>
  <c r="E27" i="6"/>
  <c r="E26" i="6"/>
  <c r="E25" i="6"/>
  <c r="E24" i="6"/>
  <c r="E23" i="6"/>
  <c r="E22" i="6"/>
  <c r="E21" i="6"/>
  <c r="E20" i="6"/>
  <c r="E19" i="6"/>
  <c r="E18" i="6"/>
  <c r="E17" i="6"/>
  <c r="E16" i="6"/>
  <c r="E15" i="6"/>
  <c r="E14" i="6"/>
  <c r="E13" i="6"/>
  <c r="E12" i="6"/>
  <c r="E11" i="6"/>
  <c r="E10" i="6"/>
  <c r="E9" i="6"/>
  <c r="E8" i="6"/>
  <c r="E7" i="6"/>
  <c r="E6" i="6"/>
  <c r="E4" i="6"/>
  <c r="E5" i="6"/>
  <c r="BG18" i="1" s="1"/>
  <c r="F5" i="6"/>
  <c r="F6" i="6"/>
  <c r="F7" i="6"/>
  <c r="F8" i="6"/>
  <c r="F9" i="6"/>
  <c r="F10" i="6"/>
  <c r="F11" i="6"/>
  <c r="F12" i="6"/>
  <c r="F13" i="6"/>
  <c r="F14" i="6"/>
  <c r="F15" i="6"/>
  <c r="F16" i="6"/>
  <c r="F17" i="6"/>
  <c r="F18" i="6"/>
  <c r="F19" i="6"/>
  <c r="F20" i="6"/>
  <c r="F21" i="6"/>
  <c r="F22" i="6"/>
  <c r="F23" i="6"/>
  <c r="F24" i="6"/>
  <c r="F25" i="6"/>
  <c r="F26" i="6"/>
  <c r="F27" i="6"/>
  <c r="F28" i="6"/>
  <c r="F29" i="6"/>
  <c r="F30" i="6"/>
  <c r="F4" i="6"/>
  <c r="E2" i="3"/>
  <c r="AF7" i="1"/>
  <c r="W16" i="1"/>
  <c r="U16" i="1"/>
  <c r="R16" i="1"/>
  <c r="Q16" i="1"/>
  <c r="P16" i="1"/>
  <c r="O16" i="1"/>
  <c r="N16" i="1"/>
  <c r="M16" i="1"/>
  <c r="L16" i="1"/>
  <c r="C35" i="3"/>
  <c r="C32" i="3"/>
  <c r="C31" i="3"/>
  <c r="C30" i="3"/>
  <c r="C29" i="3"/>
  <c r="C27" i="3"/>
  <c r="C34" i="3"/>
  <c r="C33" i="3"/>
  <c r="C26" i="3"/>
  <c r="X84" i="1"/>
  <c r="W84" i="1"/>
  <c r="E84" i="1"/>
  <c r="D84" i="1"/>
  <c r="F84" i="1" s="1"/>
  <c r="J84" i="1" s="1"/>
  <c r="Q84" i="1"/>
  <c r="A84" i="1"/>
  <c r="X83" i="1"/>
  <c r="W83" i="1"/>
  <c r="E83" i="1"/>
  <c r="D83" i="1"/>
  <c r="F83" i="1" s="1"/>
  <c r="J83" i="1" s="1"/>
  <c r="A83" i="1"/>
  <c r="X82" i="1"/>
  <c r="W82" i="1"/>
  <c r="E82" i="1"/>
  <c r="D82" i="1"/>
  <c r="G82" i="1" s="1"/>
  <c r="K82" i="1" s="1"/>
  <c r="O82" i="1"/>
  <c r="A82" i="1"/>
  <c r="X81" i="1"/>
  <c r="W81" i="1"/>
  <c r="E81" i="1"/>
  <c r="D81" i="1"/>
  <c r="I81" i="1" s="1"/>
  <c r="L81" i="1" s="1"/>
  <c r="A81" i="1"/>
  <c r="X80" i="1"/>
  <c r="W80" i="1"/>
  <c r="E80" i="1"/>
  <c r="D80" i="1"/>
  <c r="A80" i="1"/>
  <c r="X79" i="1"/>
  <c r="W79" i="1"/>
  <c r="E79" i="1"/>
  <c r="D79" i="1"/>
  <c r="F79" i="1" s="1"/>
  <c r="J79" i="1" s="1"/>
  <c r="A79" i="1"/>
  <c r="X78" i="1"/>
  <c r="W78" i="1"/>
  <c r="E78" i="1"/>
  <c r="D78" i="1"/>
  <c r="A78" i="1"/>
  <c r="X77" i="1"/>
  <c r="W77" i="1"/>
  <c r="E77" i="1"/>
  <c r="D77" i="1"/>
  <c r="I77" i="1" s="1"/>
  <c r="L77" i="1" s="1"/>
  <c r="A77" i="1"/>
  <c r="X76" i="1"/>
  <c r="W76" i="1"/>
  <c r="E76" i="1"/>
  <c r="D76" i="1"/>
  <c r="A76" i="1"/>
  <c r="X75" i="1"/>
  <c r="W75" i="1"/>
  <c r="E75" i="1"/>
  <c r="D75" i="1"/>
  <c r="I75" i="1" s="1"/>
  <c r="L75" i="1" s="1"/>
  <c r="A75" i="1"/>
  <c r="X74" i="1"/>
  <c r="W74" i="1"/>
  <c r="E74" i="1"/>
  <c r="D74" i="1"/>
  <c r="G74" i="1" s="1"/>
  <c r="K74" i="1" s="1"/>
  <c r="A74" i="1"/>
  <c r="X73" i="1"/>
  <c r="W73" i="1"/>
  <c r="E73" i="1"/>
  <c r="D73" i="1"/>
  <c r="I73" i="1" s="1"/>
  <c r="L73" i="1" s="1"/>
  <c r="A73" i="1"/>
  <c r="X72" i="1"/>
  <c r="W72" i="1"/>
  <c r="E72" i="1"/>
  <c r="D72" i="1"/>
  <c r="A72" i="1"/>
  <c r="X71" i="1"/>
  <c r="W71" i="1"/>
  <c r="E71" i="1"/>
  <c r="D71" i="1"/>
  <c r="F71" i="1" s="1"/>
  <c r="J71" i="1" s="1"/>
  <c r="A71" i="1"/>
  <c r="X70" i="1"/>
  <c r="W70" i="1"/>
  <c r="E70" i="1"/>
  <c r="D70" i="1"/>
  <c r="G70" i="1" s="1"/>
  <c r="K70" i="1" s="1"/>
  <c r="A70" i="1"/>
  <c r="X69" i="1"/>
  <c r="W69" i="1"/>
  <c r="E69" i="1"/>
  <c r="D69" i="1"/>
  <c r="I69" i="1" s="1"/>
  <c r="L69" i="1" s="1"/>
  <c r="A69" i="1"/>
  <c r="X68" i="1"/>
  <c r="W68" i="1"/>
  <c r="E68" i="1"/>
  <c r="D68" i="1"/>
  <c r="I68" i="1" s="1"/>
  <c r="L68" i="1" s="1"/>
  <c r="A68" i="1"/>
  <c r="X67" i="1"/>
  <c r="W67" i="1"/>
  <c r="E67" i="1"/>
  <c r="D67" i="1"/>
  <c r="F67" i="1" s="1"/>
  <c r="J67" i="1" s="1"/>
  <c r="A67" i="1"/>
  <c r="X66" i="1"/>
  <c r="W66" i="1"/>
  <c r="E66" i="1"/>
  <c r="D66" i="1"/>
  <c r="I66" i="1" s="1"/>
  <c r="L66" i="1" s="1"/>
  <c r="A66" i="1"/>
  <c r="X65" i="1"/>
  <c r="W65" i="1"/>
  <c r="E65" i="1"/>
  <c r="D65" i="1"/>
  <c r="F65" i="1" s="1"/>
  <c r="J65" i="1" s="1"/>
  <c r="A65" i="1"/>
  <c r="X64" i="1"/>
  <c r="W64" i="1"/>
  <c r="E64" i="1"/>
  <c r="D64" i="1"/>
  <c r="I64" i="1" s="1"/>
  <c r="L64" i="1" s="1"/>
  <c r="A64" i="1"/>
  <c r="X63" i="1"/>
  <c r="W63" i="1"/>
  <c r="E63" i="1"/>
  <c r="D63" i="1"/>
  <c r="I63" i="1" s="1"/>
  <c r="L63" i="1" s="1"/>
  <c r="A63" i="1"/>
  <c r="X62" i="1"/>
  <c r="W62" i="1"/>
  <c r="E62" i="1"/>
  <c r="D62" i="1"/>
  <c r="I62" i="1" s="1"/>
  <c r="L62" i="1" s="1"/>
  <c r="A62" i="1"/>
  <c r="X61" i="1"/>
  <c r="W61" i="1"/>
  <c r="E61" i="1"/>
  <c r="D61" i="1"/>
  <c r="G61" i="1" s="1"/>
  <c r="K61" i="1" s="1"/>
  <c r="A61" i="1"/>
  <c r="X60" i="1"/>
  <c r="W60" i="1"/>
  <c r="E60" i="1"/>
  <c r="D60" i="1"/>
  <c r="G60" i="1" s="1"/>
  <c r="K60" i="1" s="1"/>
  <c r="A60" i="1"/>
  <c r="X59" i="1"/>
  <c r="W59" i="1"/>
  <c r="E59" i="1"/>
  <c r="D59" i="1"/>
  <c r="F59" i="1" s="1"/>
  <c r="J59" i="1" s="1"/>
  <c r="A59" i="1"/>
  <c r="I5" i="6"/>
  <c r="I6" i="6"/>
  <c r="I7" i="6"/>
  <c r="I8" i="6"/>
  <c r="I9" i="6"/>
  <c r="I10" i="6"/>
  <c r="I11" i="6"/>
  <c r="I12" i="6"/>
  <c r="I13" i="6"/>
  <c r="I14" i="6"/>
  <c r="I15" i="6"/>
  <c r="I16" i="6"/>
  <c r="I17" i="6"/>
  <c r="I18" i="6"/>
  <c r="I19" i="6"/>
  <c r="I20" i="6"/>
  <c r="I21" i="6"/>
  <c r="I22" i="6"/>
  <c r="I23" i="6"/>
  <c r="I24" i="6"/>
  <c r="I25" i="6"/>
  <c r="I26" i="6"/>
  <c r="I27" i="6"/>
  <c r="I28" i="6"/>
  <c r="I29" i="6"/>
  <c r="I30" i="6"/>
  <c r="I4" i="6"/>
  <c r="AL4" i="6"/>
  <c r="AK4" i="6"/>
  <c r="E144" i="1"/>
  <c r="F144" i="1"/>
  <c r="G144" i="1"/>
  <c r="I144" i="1"/>
  <c r="J161" i="10" s="1"/>
  <c r="G184" i="10" s="1"/>
  <c r="R184" i="10" s="1"/>
  <c r="D145" i="1"/>
  <c r="E145" i="1"/>
  <c r="G145" i="1"/>
  <c r="H162" i="10" s="1"/>
  <c r="F185" i="10" s="1"/>
  <c r="Q185" i="10" s="1"/>
  <c r="I145" i="1"/>
  <c r="J162" i="10" s="1"/>
  <c r="G185" i="10" s="1"/>
  <c r="R185" i="10" s="1"/>
  <c r="J145" i="1"/>
  <c r="D146" i="1"/>
  <c r="E163" i="10" s="1"/>
  <c r="E146" i="1"/>
  <c r="F146" i="1"/>
  <c r="G146" i="1"/>
  <c r="I146" i="1"/>
  <c r="J146" i="1"/>
  <c r="K163" i="10" s="1"/>
  <c r="H186" i="10" s="1"/>
  <c r="S186" i="10" s="1"/>
  <c r="K146" i="1"/>
  <c r="D147" i="1"/>
  <c r="E164" i="10" s="1"/>
  <c r="E147" i="1"/>
  <c r="F147" i="1"/>
  <c r="G147" i="1"/>
  <c r="I147" i="1"/>
  <c r="J147" i="1"/>
  <c r="K147" i="1"/>
  <c r="D148" i="1"/>
  <c r="E165" i="10" s="1"/>
  <c r="E148" i="1"/>
  <c r="F165" i="10" s="1"/>
  <c r="F148" i="1"/>
  <c r="G148" i="1"/>
  <c r="I148" i="1"/>
  <c r="J148" i="1"/>
  <c r="K148" i="1"/>
  <c r="D149" i="1"/>
  <c r="E166" i="10" s="1"/>
  <c r="E149" i="1"/>
  <c r="F166" i="10" s="1"/>
  <c r="F149" i="1"/>
  <c r="G149" i="1"/>
  <c r="I149" i="1"/>
  <c r="J149" i="1"/>
  <c r="K149" i="1"/>
  <c r="L166" i="10" s="1"/>
  <c r="J189" i="10" s="1"/>
  <c r="T189" i="10" s="1"/>
  <c r="D150" i="1"/>
  <c r="E167" i="10" s="1"/>
  <c r="E150" i="1"/>
  <c r="F150" i="1"/>
  <c r="G167" i="10" s="1"/>
  <c r="G150" i="1"/>
  <c r="I150" i="1"/>
  <c r="J150" i="1"/>
  <c r="K150" i="1"/>
  <c r="D151" i="1"/>
  <c r="E151" i="1"/>
  <c r="F168" i="10" s="1"/>
  <c r="F151" i="1"/>
  <c r="G151" i="1"/>
  <c r="I151" i="1"/>
  <c r="J151" i="1"/>
  <c r="K151" i="1"/>
  <c r="L168" i="10" s="1"/>
  <c r="J191" i="10" s="1"/>
  <c r="T191" i="10" s="1"/>
  <c r="D152" i="1"/>
  <c r="E169" i="10" s="1"/>
  <c r="E152" i="1"/>
  <c r="F152" i="1"/>
  <c r="G152" i="1"/>
  <c r="H169" i="10" s="1"/>
  <c r="F192" i="10" s="1"/>
  <c r="Q192" i="10" s="1"/>
  <c r="I152" i="1"/>
  <c r="J152" i="1"/>
  <c r="K152" i="1"/>
  <c r="D153" i="1"/>
  <c r="E153" i="1"/>
  <c r="F170" i="10" s="1"/>
  <c r="F153" i="1"/>
  <c r="G153" i="1"/>
  <c r="H170" i="10" s="1"/>
  <c r="F193" i="10" s="1"/>
  <c r="Q193" i="10" s="1"/>
  <c r="I153" i="1"/>
  <c r="J153" i="1"/>
  <c r="K153" i="1"/>
  <c r="D154" i="1"/>
  <c r="E154" i="1"/>
  <c r="F154" i="1"/>
  <c r="G171" i="10" s="1"/>
  <c r="G154" i="1"/>
  <c r="H171" i="10" s="1"/>
  <c r="F194" i="10" s="1"/>
  <c r="Q194" i="10" s="1"/>
  <c r="I154" i="1"/>
  <c r="J154" i="1"/>
  <c r="K154" i="1"/>
  <c r="D155" i="1"/>
  <c r="E155" i="1"/>
  <c r="F155" i="1"/>
  <c r="G155" i="1"/>
  <c r="I155" i="1"/>
  <c r="J155" i="1"/>
  <c r="K155" i="1"/>
  <c r="D156" i="1"/>
  <c r="E173" i="10" s="1"/>
  <c r="E156" i="1"/>
  <c r="F173" i="10" s="1"/>
  <c r="F156" i="1"/>
  <c r="G156" i="1"/>
  <c r="H173" i="10" s="1"/>
  <c r="F196" i="10" s="1"/>
  <c r="Q196" i="10" s="1"/>
  <c r="I156" i="1"/>
  <c r="J156" i="1"/>
  <c r="K156" i="1"/>
  <c r="D157" i="1"/>
  <c r="E157" i="1"/>
  <c r="F174" i="10" s="1"/>
  <c r="F157" i="1"/>
  <c r="G174" i="10" s="1"/>
  <c r="G157" i="1"/>
  <c r="I157" i="1"/>
  <c r="J157" i="1"/>
  <c r="K157" i="1"/>
  <c r="D158" i="1"/>
  <c r="E158" i="1"/>
  <c r="F175" i="10" s="1"/>
  <c r="F158" i="1"/>
  <c r="G158" i="1"/>
  <c r="I158" i="1"/>
  <c r="J158" i="1"/>
  <c r="K158" i="1"/>
  <c r="D159" i="1"/>
  <c r="E159" i="1"/>
  <c r="F176" i="10" s="1"/>
  <c r="F159" i="1"/>
  <c r="G176" i="10" s="1"/>
  <c r="G159" i="1"/>
  <c r="I159" i="1"/>
  <c r="J159" i="1"/>
  <c r="K159" i="1"/>
  <c r="L176" i="10" s="1"/>
  <c r="J199" i="10" s="1"/>
  <c r="T199" i="10" s="1"/>
  <c r="D160" i="1"/>
  <c r="E177" i="10" s="1"/>
  <c r="E160" i="1"/>
  <c r="F160" i="1"/>
  <c r="G160" i="1"/>
  <c r="I160" i="1"/>
  <c r="J160" i="1"/>
  <c r="K160" i="1"/>
  <c r="D161" i="1"/>
  <c r="E178" i="10" s="1"/>
  <c r="E161" i="1"/>
  <c r="F161" i="1"/>
  <c r="G178" i="10" s="1"/>
  <c r="G161" i="1"/>
  <c r="I161" i="1"/>
  <c r="J161" i="1"/>
  <c r="K161" i="1"/>
  <c r="N52" i="2"/>
  <c r="Y4" i="6"/>
  <c r="V4" i="6"/>
  <c r="U4" i="6"/>
  <c r="T4" i="6"/>
  <c r="S4" i="6"/>
  <c r="R4" i="6"/>
  <c r="E138" i="1"/>
  <c r="F126" i="1"/>
  <c r="K126" i="1" s="1"/>
  <c r="L126" i="1" s="1"/>
  <c r="E137" i="1"/>
  <c r="E136" i="1"/>
  <c r="E135" i="1"/>
  <c r="E134" i="1"/>
  <c r="E133" i="1"/>
  <c r="E132" i="1"/>
  <c r="E131" i="1"/>
  <c r="E130" i="1"/>
  <c r="E129" i="1"/>
  <c r="E128" i="1"/>
  <c r="E127" i="1"/>
  <c r="E126" i="1"/>
  <c r="E125" i="1"/>
  <c r="E124" i="1"/>
  <c r="E123" i="1"/>
  <c r="E122" i="1"/>
  <c r="E121" i="1"/>
  <c r="E120" i="1"/>
  <c r="E119" i="1"/>
  <c r="E118" i="1"/>
  <c r="E117" i="1"/>
  <c r="E116" i="1"/>
  <c r="E115" i="1"/>
  <c r="E113" i="1"/>
  <c r="E112" i="1"/>
  <c r="E114" i="1"/>
  <c r="D138" i="1"/>
  <c r="D137" i="1"/>
  <c r="D136" i="1"/>
  <c r="D135" i="1"/>
  <c r="D134" i="1"/>
  <c r="D133" i="1"/>
  <c r="D132" i="1"/>
  <c r="D131" i="1"/>
  <c r="D130" i="1"/>
  <c r="D129" i="1"/>
  <c r="D128" i="1"/>
  <c r="D127" i="1"/>
  <c r="D126" i="1"/>
  <c r="D125" i="1"/>
  <c r="D124" i="1"/>
  <c r="D123" i="1"/>
  <c r="D122" i="1"/>
  <c r="D121" i="1"/>
  <c r="D120" i="1"/>
  <c r="D119" i="1"/>
  <c r="D118" i="1"/>
  <c r="D117" i="1"/>
  <c r="D116" i="1"/>
  <c r="D115" i="1"/>
  <c r="D113" i="1"/>
  <c r="D112" i="1"/>
  <c r="D114" i="1"/>
  <c r="F117" i="1"/>
  <c r="J117" i="1" s="1"/>
  <c r="F119" i="1"/>
  <c r="K119" i="1" s="1"/>
  <c r="L119" i="1" s="1"/>
  <c r="F131" i="1"/>
  <c r="Q131" i="1" s="1"/>
  <c r="F132" i="1"/>
  <c r="R132" i="1" s="1"/>
  <c r="S132" i="1" s="1"/>
  <c r="F133" i="1"/>
  <c r="F134" i="1"/>
  <c r="Q134" i="1" s="1"/>
  <c r="F135" i="1"/>
  <c r="Q135" i="1" s="1"/>
  <c r="F136" i="1"/>
  <c r="F137" i="1"/>
  <c r="F138" i="1"/>
  <c r="J138" i="1" s="1"/>
  <c r="I47" i="1"/>
  <c r="J47" i="10" s="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M30" i="6"/>
  <c r="L30" i="6"/>
  <c r="K30" i="6"/>
  <c r="J30" i="6"/>
  <c r="M29" i="6"/>
  <c r="L29" i="6"/>
  <c r="K29" i="6"/>
  <c r="J29" i="6"/>
  <c r="M28" i="6"/>
  <c r="L28" i="6"/>
  <c r="K28" i="6"/>
  <c r="J28" i="6"/>
  <c r="M27" i="6"/>
  <c r="L27" i="6"/>
  <c r="K27" i="6"/>
  <c r="J27" i="6"/>
  <c r="M26" i="6"/>
  <c r="L26" i="6"/>
  <c r="K26" i="6"/>
  <c r="J26" i="6"/>
  <c r="M25" i="6"/>
  <c r="L25" i="6"/>
  <c r="K25" i="6"/>
  <c r="J25" i="6"/>
  <c r="M24" i="6"/>
  <c r="L24" i="6"/>
  <c r="K24" i="6"/>
  <c r="J24" i="6"/>
  <c r="M23" i="6"/>
  <c r="L23" i="6"/>
  <c r="K23" i="6"/>
  <c r="J23" i="6"/>
  <c r="M22" i="6"/>
  <c r="L22" i="6"/>
  <c r="K22" i="6"/>
  <c r="J22" i="6"/>
  <c r="B2" i="5"/>
  <c r="M21" i="6"/>
  <c r="L21" i="6"/>
  <c r="K21" i="6"/>
  <c r="J21" i="6"/>
  <c r="M20" i="6"/>
  <c r="L20" i="6"/>
  <c r="K20" i="6"/>
  <c r="J20" i="6"/>
  <c r="M19" i="6"/>
  <c r="L19" i="6"/>
  <c r="K19" i="6"/>
  <c r="J19" i="6"/>
  <c r="M18" i="6"/>
  <c r="L18" i="6"/>
  <c r="K18" i="6"/>
  <c r="J18" i="6"/>
  <c r="M17" i="6"/>
  <c r="L17" i="6"/>
  <c r="K17" i="6"/>
  <c r="J17" i="6"/>
  <c r="M16" i="6"/>
  <c r="L16" i="6"/>
  <c r="K16" i="6"/>
  <c r="J16" i="6"/>
  <c r="M15" i="6"/>
  <c r="L15" i="6"/>
  <c r="K15" i="6"/>
  <c r="J15" i="6"/>
  <c r="M14" i="6"/>
  <c r="L14" i="6"/>
  <c r="K14" i="6"/>
  <c r="J14" i="6"/>
  <c r="M13" i="6"/>
  <c r="L13" i="6"/>
  <c r="K13" i="6"/>
  <c r="J13" i="6"/>
  <c r="M12" i="6"/>
  <c r="L12" i="6"/>
  <c r="K12" i="6"/>
  <c r="J12" i="6"/>
  <c r="M11" i="6"/>
  <c r="L11" i="6"/>
  <c r="K11" i="6"/>
  <c r="J11" i="6"/>
  <c r="M10" i="6"/>
  <c r="L10" i="6"/>
  <c r="K10" i="6"/>
  <c r="J10" i="6"/>
  <c r="M9" i="6"/>
  <c r="L9" i="6"/>
  <c r="K9" i="6"/>
  <c r="J9" i="6"/>
  <c r="M8" i="6"/>
  <c r="L8" i="6"/>
  <c r="K8" i="6"/>
  <c r="J8" i="6"/>
  <c r="M7" i="6"/>
  <c r="L7" i="6"/>
  <c r="K7" i="6"/>
  <c r="J7" i="6"/>
  <c r="M6" i="6"/>
  <c r="L6" i="6"/>
  <c r="K6" i="6"/>
  <c r="J6" i="6"/>
  <c r="M5" i="6"/>
  <c r="L5" i="6"/>
  <c r="K5" i="6"/>
  <c r="J5" i="6"/>
  <c r="AG4" i="6"/>
  <c r="AF4" i="6"/>
  <c r="AE4" i="6"/>
  <c r="AD4" i="6"/>
  <c r="AC4" i="6"/>
  <c r="AA4" i="6"/>
  <c r="M4" i="6"/>
  <c r="L4" i="6"/>
  <c r="K4" i="6"/>
  <c r="J4" i="6"/>
  <c r="S2" i="5"/>
  <c r="R2" i="5"/>
  <c r="O2" i="5"/>
  <c r="N2" i="5"/>
  <c r="J2" i="5"/>
  <c r="G2" i="5"/>
  <c r="H2" i="5"/>
  <c r="K2" i="5"/>
  <c r="I2" i="5"/>
  <c r="F2" i="5"/>
  <c r="E2" i="5"/>
  <c r="D2" i="5"/>
  <c r="C2" i="5"/>
  <c r="I48" i="1"/>
  <c r="I49" i="1"/>
  <c r="J49" i="10" s="1"/>
  <c r="I50" i="1"/>
  <c r="I51" i="1"/>
  <c r="I52" i="1"/>
  <c r="I53" i="1"/>
  <c r="J53" i="10" s="1"/>
  <c r="I54" i="1"/>
  <c r="I55" i="1"/>
  <c r="I56" i="1"/>
  <c r="D58" i="1"/>
  <c r="I58" i="1" s="1"/>
  <c r="L58" i="1" s="1"/>
  <c r="AA86" i="1"/>
  <c r="AA100" i="1"/>
  <c r="AA101" i="1"/>
  <c r="AA102" i="1"/>
  <c r="C9" i="3"/>
  <c r="AG4" i="1"/>
  <c r="A58" i="1"/>
  <c r="X58" i="1"/>
  <c r="W58" i="1"/>
  <c r="E58" i="1"/>
  <c r="F112" i="1"/>
  <c r="K112" i="1" s="1"/>
  <c r="L112" i="1" s="1"/>
  <c r="F116" i="1"/>
  <c r="R116" i="1" s="1"/>
  <c r="S116" i="1" s="1"/>
  <c r="F125" i="1"/>
  <c r="F128" i="1"/>
  <c r="K128" i="1" s="1"/>
  <c r="L128" i="1" s="1"/>
  <c r="F120" i="1"/>
  <c r="K120" i="1" s="1"/>
  <c r="L120" i="1" s="1"/>
  <c r="F130" i="1"/>
  <c r="K130" i="1" s="1"/>
  <c r="L130" i="1" s="1"/>
  <c r="F122" i="1"/>
  <c r="F118" i="1"/>
  <c r="Q118" i="1" s="1"/>
  <c r="G67" i="1"/>
  <c r="K67" i="1" s="1"/>
  <c r="F68" i="1"/>
  <c r="J68" i="1" s="1"/>
  <c r="G71" i="1"/>
  <c r="K71" i="1" s="1"/>
  <c r="G75" i="1"/>
  <c r="K75" i="1" s="1"/>
  <c r="G83" i="1"/>
  <c r="K83" i="1" s="1"/>
  <c r="G68" i="1"/>
  <c r="K68" i="1" s="1"/>
  <c r="O72" i="1"/>
  <c r="F124" i="1"/>
  <c r="R124" i="1" s="1"/>
  <c r="S124" i="1" s="1"/>
  <c r="F129" i="1"/>
  <c r="R129" i="1" s="1"/>
  <c r="S129" i="1" s="1"/>
  <c r="F127" i="1"/>
  <c r="R127" i="1" s="1"/>
  <c r="S127" i="1" s="1"/>
  <c r="F121" i="1"/>
  <c r="J121" i="1" s="1"/>
  <c r="F123" i="1"/>
  <c r="J123" i="1" s="1"/>
  <c r="Q79" i="1"/>
  <c r="O78" i="1"/>
  <c r="Q76" i="1"/>
  <c r="O73" i="1"/>
  <c r="F60" i="1"/>
  <c r="J60" i="1" s="1"/>
  <c r="Q80" i="1"/>
  <c r="I67" i="1"/>
  <c r="L67" i="1" s="1"/>
  <c r="F75" i="1"/>
  <c r="J75" i="1" s="1"/>
  <c r="I79" i="1"/>
  <c r="L79" i="1" s="1"/>
  <c r="I83" i="1"/>
  <c r="L83" i="1" s="1"/>
  <c r="S78" i="1"/>
  <c r="S74" i="1"/>
  <c r="Q71" i="1"/>
  <c r="AH4" i="6"/>
  <c r="AI4" i="6"/>
  <c r="E179" i="1"/>
  <c r="P179" i="1" s="1"/>
  <c r="I167" i="1"/>
  <c r="S167" i="1" s="1"/>
  <c r="G169" i="1"/>
  <c r="R169" i="1" s="1"/>
  <c r="B172" i="1"/>
  <c r="M172" i="1" s="1"/>
  <c r="S80" i="1"/>
  <c r="Q72" i="1"/>
  <c r="S76" i="1"/>
  <c r="G63" i="1"/>
  <c r="K63" i="1" s="1"/>
  <c r="S83" i="1"/>
  <c r="Q82" i="1"/>
  <c r="S82" i="1"/>
  <c r="O80" i="1"/>
  <c r="Q74" i="1"/>
  <c r="S73" i="1"/>
  <c r="O71" i="1"/>
  <c r="S71" i="1"/>
  <c r="O81" i="1"/>
  <c r="O77" i="1"/>
  <c r="S77" i="1"/>
  <c r="S75" i="1"/>
  <c r="Q77" i="1"/>
  <c r="O74" i="1"/>
  <c r="AG6" i="1"/>
  <c r="AL6" i="1" s="1"/>
  <c r="I61" i="1" l="1"/>
  <c r="L61" i="1" s="1"/>
  <c r="BG19" i="1"/>
  <c r="BG20" i="1"/>
  <c r="Y20" i="1" s="1"/>
  <c r="BG17" i="1"/>
  <c r="E175" i="1"/>
  <c r="P175" i="1" s="1"/>
  <c r="I174" i="1"/>
  <c r="S174" i="1" s="1"/>
  <c r="F167" i="1"/>
  <c r="Q167" i="1" s="1"/>
  <c r="K138" i="1"/>
  <c r="L138" i="1" s="1"/>
  <c r="BI18" i="10"/>
  <c r="AA18" i="10" s="1"/>
  <c r="BI21" i="10"/>
  <c r="AA21" i="10" s="1"/>
  <c r="BI25" i="10"/>
  <c r="BI29" i="10"/>
  <c r="BI33" i="10"/>
  <c r="BI37" i="10"/>
  <c r="BI41" i="10"/>
  <c r="BI17" i="10"/>
  <c r="BI22" i="10"/>
  <c r="AA22" i="10" s="1"/>
  <c r="BI26" i="10"/>
  <c r="AA26" i="10" s="1"/>
  <c r="BI30" i="10"/>
  <c r="BI34" i="10"/>
  <c r="BI38" i="10"/>
  <c r="BI42" i="10"/>
  <c r="BI19" i="10"/>
  <c r="AA19" i="10" s="1"/>
  <c r="BI23" i="10"/>
  <c r="AA23" i="10" s="1"/>
  <c r="BI27" i="10"/>
  <c r="AA27" i="10" s="1"/>
  <c r="BI31" i="10"/>
  <c r="BI35" i="10"/>
  <c r="BI39" i="10"/>
  <c r="BI43" i="10"/>
  <c r="BI20" i="10"/>
  <c r="AA20" i="10" s="1"/>
  <c r="BI24" i="10"/>
  <c r="BI28" i="10"/>
  <c r="AA28" i="10" s="1"/>
  <c r="BI32" i="10"/>
  <c r="BI36" i="10"/>
  <c r="BI40" i="10"/>
  <c r="F66" i="1"/>
  <c r="J66" i="1" s="1"/>
  <c r="D4" i="7"/>
  <c r="D3" i="7"/>
  <c r="C171" i="1"/>
  <c r="N171" i="1" s="1"/>
  <c r="R134" i="1"/>
  <c r="S134" i="1" s="1"/>
  <c r="Q119" i="1"/>
  <c r="I172" i="1"/>
  <c r="S172" i="1" s="1"/>
  <c r="B179" i="1"/>
  <c r="D173" i="1"/>
  <c r="O173" i="1" s="1"/>
  <c r="J50" i="1"/>
  <c r="J50" i="10"/>
  <c r="L53" i="10"/>
  <c r="K53" i="10"/>
  <c r="L49" i="10"/>
  <c r="K49" i="10"/>
  <c r="L47" i="10"/>
  <c r="K47" i="10"/>
  <c r="K54" i="1"/>
  <c r="J54" i="10"/>
  <c r="J56" i="1"/>
  <c r="J56" i="10"/>
  <c r="J52" i="1"/>
  <c r="J52" i="10"/>
  <c r="J48" i="1"/>
  <c r="J48" i="10"/>
  <c r="J55" i="1"/>
  <c r="J55" i="10"/>
  <c r="K51" i="1"/>
  <c r="J51" i="10"/>
  <c r="AA44" i="1"/>
  <c r="F49" i="2"/>
  <c r="E12" i="7" s="1"/>
  <c r="E184" i="1"/>
  <c r="P184" i="1" s="1"/>
  <c r="H178" i="10"/>
  <c r="F201" i="10" s="1"/>
  <c r="Q201" i="10" s="1"/>
  <c r="D183" i="1"/>
  <c r="O183" i="1" s="1"/>
  <c r="G177" i="10"/>
  <c r="D199" i="10"/>
  <c r="O199" i="10" s="1"/>
  <c r="B181" i="1"/>
  <c r="M181" i="1" s="1"/>
  <c r="E175" i="10"/>
  <c r="I179" i="1"/>
  <c r="S179" i="1" s="1"/>
  <c r="L173" i="10"/>
  <c r="J196" i="10" s="1"/>
  <c r="T196" i="10" s="1"/>
  <c r="D175" i="1"/>
  <c r="O175" i="1" s="1"/>
  <c r="G169" i="10"/>
  <c r="D191" i="10"/>
  <c r="O191" i="10" s="1"/>
  <c r="F173" i="1"/>
  <c r="Q173" i="1" s="1"/>
  <c r="J167" i="10"/>
  <c r="G190" i="10" s="1"/>
  <c r="R190" i="10" s="1"/>
  <c r="E172" i="1"/>
  <c r="H166" i="10"/>
  <c r="F189" i="10" s="1"/>
  <c r="Q189" i="10" s="1"/>
  <c r="I171" i="1"/>
  <c r="S171" i="1" s="1"/>
  <c r="L165" i="10"/>
  <c r="J188" i="10" s="1"/>
  <c r="T188" i="10" s="1"/>
  <c r="G170" i="1"/>
  <c r="R170" i="1" s="1"/>
  <c r="K164" i="10"/>
  <c r="H187" i="10" s="1"/>
  <c r="S187" i="10" s="1"/>
  <c r="C186" i="10"/>
  <c r="D167" i="1"/>
  <c r="O167" i="1" s="1"/>
  <c r="G161" i="10"/>
  <c r="D168" i="1"/>
  <c r="O168" i="1" s="1"/>
  <c r="G162" i="10"/>
  <c r="I182" i="1"/>
  <c r="S182" i="1" s="1"/>
  <c r="I184" i="1"/>
  <c r="S184" i="1" s="1"/>
  <c r="L178" i="10"/>
  <c r="J201" i="10" s="1"/>
  <c r="T201" i="10" s="1"/>
  <c r="E201" i="10"/>
  <c r="P201" i="10" s="1"/>
  <c r="G183" i="1"/>
  <c r="R183" i="1" s="1"/>
  <c r="K177" i="10"/>
  <c r="H200" i="10" s="1"/>
  <c r="S200" i="10" s="1"/>
  <c r="C183" i="1"/>
  <c r="N183" i="1" s="1"/>
  <c r="F177" i="10"/>
  <c r="F182" i="1"/>
  <c r="Q182" i="1" s="1"/>
  <c r="J176" i="10"/>
  <c r="G199" i="10" s="1"/>
  <c r="R199" i="10" s="1"/>
  <c r="B182" i="1"/>
  <c r="M182" i="1" s="1"/>
  <c r="E176" i="10"/>
  <c r="E181" i="1"/>
  <c r="P181" i="1" s="1"/>
  <c r="H175" i="10"/>
  <c r="F198" i="10" s="1"/>
  <c r="Q198" i="10" s="1"/>
  <c r="I180" i="1"/>
  <c r="S180" i="1" s="1"/>
  <c r="L174" i="10"/>
  <c r="J197" i="10" s="1"/>
  <c r="T197" i="10" s="1"/>
  <c r="E197" i="10"/>
  <c r="P197" i="10" s="1"/>
  <c r="G179" i="1"/>
  <c r="R179" i="1" s="1"/>
  <c r="K173" i="10"/>
  <c r="H196" i="10" s="1"/>
  <c r="S196" i="10" s="1"/>
  <c r="D196" i="10"/>
  <c r="O196" i="10" s="1"/>
  <c r="F178" i="1"/>
  <c r="Q178" i="1" s="1"/>
  <c r="J172" i="10"/>
  <c r="G195" i="10" s="1"/>
  <c r="R195" i="10" s="1"/>
  <c r="B178" i="1"/>
  <c r="M178" i="1" s="1"/>
  <c r="E172" i="10"/>
  <c r="I176" i="1"/>
  <c r="S176" i="1" s="1"/>
  <c r="L170" i="10"/>
  <c r="J193" i="10" s="1"/>
  <c r="T193" i="10" s="1"/>
  <c r="D176" i="1"/>
  <c r="O176" i="1" s="1"/>
  <c r="G170" i="10"/>
  <c r="G175" i="1"/>
  <c r="R175" i="1" s="1"/>
  <c r="K169" i="10"/>
  <c r="H192" i="10" s="1"/>
  <c r="S192" i="10" s="1"/>
  <c r="C175" i="1"/>
  <c r="N175" i="1" s="1"/>
  <c r="F169" i="10"/>
  <c r="F174" i="1"/>
  <c r="Q174" i="1" s="1"/>
  <c r="J168" i="10"/>
  <c r="G191" i="10" s="1"/>
  <c r="R191" i="10" s="1"/>
  <c r="B174" i="1"/>
  <c r="M174" i="1" s="1"/>
  <c r="E168" i="10"/>
  <c r="E173" i="1"/>
  <c r="P173" i="1" s="1"/>
  <c r="H167" i="10"/>
  <c r="F190" i="10" s="1"/>
  <c r="Q190" i="10" s="1"/>
  <c r="D172" i="1"/>
  <c r="O172" i="1" s="1"/>
  <c r="G166" i="10"/>
  <c r="G171" i="1"/>
  <c r="R171" i="1" s="1"/>
  <c r="K165" i="10"/>
  <c r="H188" i="10" s="1"/>
  <c r="S188" i="10" s="1"/>
  <c r="D188" i="10"/>
  <c r="O188" i="10" s="1"/>
  <c r="F170" i="1"/>
  <c r="Q170" i="1" s="1"/>
  <c r="J164" i="10"/>
  <c r="G187" i="10" s="1"/>
  <c r="R187" i="10" s="1"/>
  <c r="C187" i="10"/>
  <c r="E169" i="1"/>
  <c r="P169" i="1" s="1"/>
  <c r="H163" i="10"/>
  <c r="F186" i="10" s="1"/>
  <c r="Q186" i="10" s="1"/>
  <c r="G168" i="1"/>
  <c r="R168" i="1" s="1"/>
  <c r="K162" i="10"/>
  <c r="H185" i="10" s="1"/>
  <c r="S185" i="10" s="1"/>
  <c r="B168" i="1"/>
  <c r="M168" i="1" s="1"/>
  <c r="E162" i="10"/>
  <c r="C167" i="1"/>
  <c r="N167" i="1" s="1"/>
  <c r="F161" i="10"/>
  <c r="I183" i="1"/>
  <c r="S183" i="1" s="1"/>
  <c r="L177" i="10"/>
  <c r="J200" i="10" s="1"/>
  <c r="T200" i="10" s="1"/>
  <c r="G182" i="1"/>
  <c r="R182" i="1" s="1"/>
  <c r="K176" i="10"/>
  <c r="H199" i="10" s="1"/>
  <c r="S199" i="10" s="1"/>
  <c r="F181" i="1"/>
  <c r="Q181" i="1" s="1"/>
  <c r="J175" i="10"/>
  <c r="G198" i="10" s="1"/>
  <c r="R198" i="10" s="1"/>
  <c r="E180" i="1"/>
  <c r="P180" i="1" s="1"/>
  <c r="H174" i="10"/>
  <c r="F197" i="10" s="1"/>
  <c r="Q197" i="10" s="1"/>
  <c r="D179" i="1"/>
  <c r="O179" i="1" s="1"/>
  <c r="G173" i="10"/>
  <c r="G178" i="1"/>
  <c r="R178" i="1" s="1"/>
  <c r="K172" i="10"/>
  <c r="H195" i="10" s="1"/>
  <c r="S195" i="10" s="1"/>
  <c r="C178" i="1"/>
  <c r="N178" i="1" s="1"/>
  <c r="F172" i="10"/>
  <c r="F177" i="1"/>
  <c r="Q177" i="1" s="1"/>
  <c r="J171" i="10"/>
  <c r="G194" i="10" s="1"/>
  <c r="R194" i="10" s="1"/>
  <c r="B177" i="1"/>
  <c r="M177" i="1" s="1"/>
  <c r="E171" i="10"/>
  <c r="I175" i="1"/>
  <c r="S175" i="1" s="1"/>
  <c r="L169" i="10"/>
  <c r="J192" i="10" s="1"/>
  <c r="T192" i="10" s="1"/>
  <c r="G174" i="1"/>
  <c r="R174" i="1" s="1"/>
  <c r="K168" i="10"/>
  <c r="H191" i="10" s="1"/>
  <c r="S191" i="10" s="1"/>
  <c r="C190" i="10"/>
  <c r="D171" i="1"/>
  <c r="O171" i="1" s="1"/>
  <c r="G165" i="10"/>
  <c r="C170" i="1"/>
  <c r="N170" i="1" s="1"/>
  <c r="F164" i="10"/>
  <c r="F169" i="1"/>
  <c r="Q169" i="1" s="1"/>
  <c r="J163" i="10"/>
  <c r="G186" i="10" s="1"/>
  <c r="R186" i="10" s="1"/>
  <c r="C168" i="1"/>
  <c r="N168" i="1" s="1"/>
  <c r="F162" i="10"/>
  <c r="F81" i="1"/>
  <c r="J81" i="1" s="1"/>
  <c r="G184" i="1"/>
  <c r="R184" i="1" s="1"/>
  <c r="K178" i="10"/>
  <c r="H201" i="10" s="1"/>
  <c r="S201" i="10" s="1"/>
  <c r="C184" i="1"/>
  <c r="N184" i="1" s="1"/>
  <c r="F178" i="10"/>
  <c r="F183" i="1"/>
  <c r="Q183" i="1" s="1"/>
  <c r="J177" i="10"/>
  <c r="G200" i="10" s="1"/>
  <c r="R200" i="10" s="1"/>
  <c r="C200" i="10"/>
  <c r="E182" i="1"/>
  <c r="P182" i="1" s="1"/>
  <c r="H176" i="10"/>
  <c r="F199" i="10" s="1"/>
  <c r="Q199" i="10" s="1"/>
  <c r="I181" i="1"/>
  <c r="S181" i="1" s="1"/>
  <c r="L175" i="10"/>
  <c r="J198" i="10" s="1"/>
  <c r="T198" i="10" s="1"/>
  <c r="D181" i="1"/>
  <c r="O181" i="1" s="1"/>
  <c r="G175" i="10"/>
  <c r="G180" i="1"/>
  <c r="R180" i="1" s="1"/>
  <c r="K174" i="10"/>
  <c r="H197" i="10" s="1"/>
  <c r="S197" i="10" s="1"/>
  <c r="D197" i="10"/>
  <c r="O197" i="10" s="1"/>
  <c r="F179" i="1"/>
  <c r="Q179" i="1" s="1"/>
  <c r="J173" i="10"/>
  <c r="G196" i="10" s="1"/>
  <c r="R196" i="10" s="1"/>
  <c r="C196" i="10"/>
  <c r="E178" i="1"/>
  <c r="P178" i="1" s="1"/>
  <c r="H172" i="10"/>
  <c r="F195" i="10" s="1"/>
  <c r="Q195" i="10" s="1"/>
  <c r="I177" i="1"/>
  <c r="S177" i="1" s="1"/>
  <c r="L171" i="10"/>
  <c r="J194" i="10" s="1"/>
  <c r="T194" i="10" s="1"/>
  <c r="E194" i="10"/>
  <c r="P194" i="10" s="1"/>
  <c r="G176" i="1"/>
  <c r="R176" i="1" s="1"/>
  <c r="K170" i="10"/>
  <c r="H193" i="10" s="1"/>
  <c r="S193" i="10" s="1"/>
  <c r="D193" i="10"/>
  <c r="O193" i="10" s="1"/>
  <c r="F175" i="1"/>
  <c r="Q175" i="1" s="1"/>
  <c r="J169" i="10"/>
  <c r="G192" i="10" s="1"/>
  <c r="R192" i="10" s="1"/>
  <c r="C192" i="10"/>
  <c r="E174" i="1"/>
  <c r="P174" i="1" s="1"/>
  <c r="H168" i="10"/>
  <c r="F191" i="10" s="1"/>
  <c r="Q191" i="10" s="1"/>
  <c r="I173" i="1"/>
  <c r="S173" i="1" s="1"/>
  <c r="L167" i="10"/>
  <c r="J190" i="10" s="1"/>
  <c r="T190" i="10" s="1"/>
  <c r="E190" i="10"/>
  <c r="P190" i="10" s="1"/>
  <c r="G172" i="1"/>
  <c r="R172" i="1" s="1"/>
  <c r="K166" i="10"/>
  <c r="H189" i="10" s="1"/>
  <c r="S189" i="10" s="1"/>
  <c r="D189" i="10"/>
  <c r="O189" i="10" s="1"/>
  <c r="F171" i="1"/>
  <c r="Q171" i="1" s="1"/>
  <c r="J165" i="10"/>
  <c r="G188" i="10" s="1"/>
  <c r="R188" i="10" s="1"/>
  <c r="C188" i="10"/>
  <c r="E170" i="1"/>
  <c r="P170" i="1" s="1"/>
  <c r="H164" i="10"/>
  <c r="F187" i="10" s="1"/>
  <c r="Q187" i="10" s="1"/>
  <c r="I169" i="1"/>
  <c r="S169" i="1" s="1"/>
  <c r="L163" i="10"/>
  <c r="J186" i="10" s="1"/>
  <c r="T186" i="10" s="1"/>
  <c r="D169" i="1"/>
  <c r="O169" i="1" s="1"/>
  <c r="G163" i="10"/>
  <c r="G167" i="1"/>
  <c r="R167" i="1" s="1"/>
  <c r="K161" i="10"/>
  <c r="H184" i="10" s="1"/>
  <c r="S184" i="10" s="1"/>
  <c r="F184" i="1"/>
  <c r="Q184" i="1" s="1"/>
  <c r="J178" i="10"/>
  <c r="G201" i="10" s="1"/>
  <c r="R201" i="10" s="1"/>
  <c r="C201" i="10"/>
  <c r="E183" i="1"/>
  <c r="P183" i="1" s="1"/>
  <c r="H177" i="10"/>
  <c r="F200" i="10" s="1"/>
  <c r="Q200" i="10" s="1"/>
  <c r="E199" i="10"/>
  <c r="P199" i="10" s="1"/>
  <c r="G181" i="1"/>
  <c r="R181" i="1" s="1"/>
  <c r="K175" i="10"/>
  <c r="H198" i="10" s="1"/>
  <c r="S198" i="10" s="1"/>
  <c r="D198" i="10"/>
  <c r="O198" i="10" s="1"/>
  <c r="F180" i="1"/>
  <c r="Q180" i="1" s="1"/>
  <c r="J174" i="10"/>
  <c r="G197" i="10" s="1"/>
  <c r="R197" i="10" s="1"/>
  <c r="B180" i="1"/>
  <c r="M180" i="1" s="1"/>
  <c r="E174" i="10"/>
  <c r="I178" i="1"/>
  <c r="S178" i="1" s="1"/>
  <c r="L172" i="10"/>
  <c r="J195" i="10" s="1"/>
  <c r="T195" i="10" s="1"/>
  <c r="D178" i="1"/>
  <c r="O178" i="1" s="1"/>
  <c r="G172" i="10"/>
  <c r="G177" i="1"/>
  <c r="R177" i="1" s="1"/>
  <c r="K171" i="10"/>
  <c r="H194" i="10" s="1"/>
  <c r="S194" i="10" s="1"/>
  <c r="C177" i="1"/>
  <c r="N177" i="1" s="1"/>
  <c r="F171" i="10"/>
  <c r="F176" i="1"/>
  <c r="Q176" i="1" s="1"/>
  <c r="J170" i="10"/>
  <c r="G193" i="10" s="1"/>
  <c r="R193" i="10" s="1"/>
  <c r="B176" i="1"/>
  <c r="E170" i="10"/>
  <c r="D174" i="1"/>
  <c r="O174" i="1" s="1"/>
  <c r="G168" i="10"/>
  <c r="G173" i="1"/>
  <c r="R173" i="1" s="1"/>
  <c r="K167" i="10"/>
  <c r="H190" i="10" s="1"/>
  <c r="S190" i="10" s="1"/>
  <c r="C173" i="1"/>
  <c r="N173" i="1" s="1"/>
  <c r="F167" i="10"/>
  <c r="F172" i="1"/>
  <c r="Q172" i="1" s="1"/>
  <c r="J166" i="10"/>
  <c r="G189" i="10" s="1"/>
  <c r="R189" i="10" s="1"/>
  <c r="C189" i="10"/>
  <c r="E171" i="1"/>
  <c r="P171" i="1" s="1"/>
  <c r="H165" i="10"/>
  <c r="F188" i="10" s="1"/>
  <c r="Q188" i="10" s="1"/>
  <c r="I170" i="1"/>
  <c r="S170" i="1" s="1"/>
  <c r="L164" i="10"/>
  <c r="J187" i="10" s="1"/>
  <c r="T187" i="10" s="1"/>
  <c r="D170" i="1"/>
  <c r="O170" i="1" s="1"/>
  <c r="G164" i="10"/>
  <c r="E187" i="10" s="1"/>
  <c r="C169" i="1"/>
  <c r="N169" i="1" s="1"/>
  <c r="F163" i="10"/>
  <c r="E167" i="1"/>
  <c r="P167" i="1" s="1"/>
  <c r="H161" i="10"/>
  <c r="F184" i="10" s="1"/>
  <c r="Q184" i="10" s="1"/>
  <c r="I168" i="1"/>
  <c r="S168" i="1" s="1"/>
  <c r="L162" i="10"/>
  <c r="J185" i="10" s="1"/>
  <c r="T185" i="10" s="1"/>
  <c r="AA24" i="10"/>
  <c r="AA32" i="10"/>
  <c r="AA36" i="10"/>
  <c r="AA40" i="10"/>
  <c r="AA25" i="10"/>
  <c r="AA33" i="10"/>
  <c r="AA41" i="10"/>
  <c r="AA30" i="10"/>
  <c r="AA34" i="10"/>
  <c r="AA38" i="10"/>
  <c r="AA42" i="10"/>
  <c r="AA29" i="10"/>
  <c r="AA37" i="10"/>
  <c r="AA31" i="10"/>
  <c r="AA35" i="10"/>
  <c r="AA39" i="10"/>
  <c r="AA43" i="10"/>
  <c r="E43" i="2"/>
  <c r="D6" i="7" s="1"/>
  <c r="F51" i="2"/>
  <c r="E14" i="7" s="1"/>
  <c r="E45" i="2"/>
  <c r="D8" i="7" s="1"/>
  <c r="A8" i="7" s="1"/>
  <c r="E47" i="2"/>
  <c r="D10" i="7" s="1"/>
  <c r="C10" i="7" s="1"/>
  <c r="K47" i="1"/>
  <c r="J47" i="1"/>
  <c r="I59" i="1"/>
  <c r="L59" i="1" s="1"/>
  <c r="I60" i="1"/>
  <c r="L60" i="1" s="1"/>
  <c r="M60" i="1" s="1"/>
  <c r="AC19" i="1" s="1"/>
  <c r="F69" i="1"/>
  <c r="J69" i="1" s="1"/>
  <c r="F77" i="1"/>
  <c r="J77" i="1" s="1"/>
  <c r="F73" i="1"/>
  <c r="J73" i="1" s="1"/>
  <c r="R138" i="1"/>
  <c r="S138" i="1" s="1"/>
  <c r="I65" i="1"/>
  <c r="L65" i="1" s="1"/>
  <c r="G65" i="1"/>
  <c r="K65" i="1" s="1"/>
  <c r="J119" i="1"/>
  <c r="G81" i="1"/>
  <c r="K81" i="1" s="1"/>
  <c r="Q138" i="1"/>
  <c r="G73" i="1"/>
  <c r="K73" i="1" s="1"/>
  <c r="G77" i="1"/>
  <c r="K77" i="1" s="1"/>
  <c r="G134" i="1"/>
  <c r="I134" i="1" s="1"/>
  <c r="N134" i="1" s="1"/>
  <c r="G131" i="1"/>
  <c r="I131" i="1" s="1"/>
  <c r="O131" i="1" s="1"/>
  <c r="P131" i="1" s="1"/>
  <c r="G62" i="1"/>
  <c r="K62" i="1" s="1"/>
  <c r="R159" i="1"/>
  <c r="S159" i="1" s="1"/>
  <c r="J120" i="1"/>
  <c r="F62" i="1"/>
  <c r="J62" i="1" s="1"/>
  <c r="G66" i="1"/>
  <c r="K66" i="1" s="1"/>
  <c r="J130" i="1"/>
  <c r="G132" i="1"/>
  <c r="I132" i="1" s="1"/>
  <c r="O132" i="1" s="1"/>
  <c r="P132" i="1" s="1"/>
  <c r="K123" i="1"/>
  <c r="L123" i="1" s="1"/>
  <c r="C4" i="6"/>
  <c r="C6" i="6"/>
  <c r="C8" i="6"/>
  <c r="C10" i="6"/>
  <c r="C12" i="6"/>
  <c r="C14" i="6"/>
  <c r="C16" i="6"/>
  <c r="C5" i="6"/>
  <c r="C7" i="6"/>
  <c r="C9" i="6"/>
  <c r="C11" i="6"/>
  <c r="C13" i="6"/>
  <c r="C15" i="6"/>
  <c r="G112" i="1"/>
  <c r="I112" i="1" s="1"/>
  <c r="O112" i="1" s="1"/>
  <c r="P112" i="1" s="1"/>
  <c r="G116" i="1"/>
  <c r="I116" i="1" s="1"/>
  <c r="O116" i="1" s="1"/>
  <c r="P116" i="1" s="1"/>
  <c r="G120" i="1"/>
  <c r="I120" i="1" s="1"/>
  <c r="O120" i="1" s="1"/>
  <c r="P120" i="1" s="1"/>
  <c r="G128" i="1"/>
  <c r="I128" i="1" s="1"/>
  <c r="O128" i="1" s="1"/>
  <c r="P128" i="1" s="1"/>
  <c r="G136" i="1"/>
  <c r="I136" i="1" s="1"/>
  <c r="N136" i="1" s="1"/>
  <c r="R149" i="1"/>
  <c r="T149" i="1" s="1"/>
  <c r="F44" i="2"/>
  <c r="E7" i="7" s="1"/>
  <c r="E3" i="7"/>
  <c r="E50" i="2"/>
  <c r="D13" i="7" s="1"/>
  <c r="E48" i="2"/>
  <c r="D11" i="7" s="1"/>
  <c r="C11" i="7" s="1"/>
  <c r="E42" i="2"/>
  <c r="D5" i="7" s="1"/>
  <c r="A5" i="7" s="1"/>
  <c r="C9" i="7"/>
  <c r="B9" i="7"/>
  <c r="A9" i="7"/>
  <c r="A7" i="7"/>
  <c r="B7" i="7"/>
  <c r="C7" i="7"/>
  <c r="B12" i="7"/>
  <c r="A12" i="7"/>
  <c r="C12" i="7"/>
  <c r="A10" i="7"/>
  <c r="B10" i="7"/>
  <c r="A6" i="7"/>
  <c r="B6" i="7"/>
  <c r="C6" i="7"/>
  <c r="B4" i="7"/>
  <c r="A4" i="7"/>
  <c r="C4" i="7"/>
  <c r="E204" i="1"/>
  <c r="F204" i="1" s="1"/>
  <c r="K135" i="1"/>
  <c r="L135" i="1" s="1"/>
  <c r="C172" i="1"/>
  <c r="N172" i="1" s="1"/>
  <c r="K52" i="1"/>
  <c r="C212" i="1"/>
  <c r="F212" i="1" s="1"/>
  <c r="J126" i="1"/>
  <c r="Q126" i="1"/>
  <c r="K50" i="1"/>
  <c r="G119" i="1"/>
  <c r="I119" i="1" s="1"/>
  <c r="O119" i="1" s="1"/>
  <c r="P119" i="1" s="1"/>
  <c r="G135" i="1"/>
  <c r="I135" i="1" s="1"/>
  <c r="N135" i="1" s="1"/>
  <c r="L158" i="1"/>
  <c r="Q158" i="1" s="1"/>
  <c r="E196" i="1"/>
  <c r="F196" i="1" s="1"/>
  <c r="E195" i="1"/>
  <c r="F195" i="1" s="1"/>
  <c r="R146" i="1"/>
  <c r="S146" i="1" s="1"/>
  <c r="L161" i="1"/>
  <c r="P161" i="1" s="1"/>
  <c r="R148" i="1"/>
  <c r="T148" i="1" s="1"/>
  <c r="M68" i="1"/>
  <c r="P68" i="1" s="1"/>
  <c r="K129" i="1"/>
  <c r="L129" i="1" s="1"/>
  <c r="J129" i="1"/>
  <c r="G113" i="1"/>
  <c r="I113" i="1" s="1"/>
  <c r="O113" i="1" s="1"/>
  <c r="P113" i="1" s="1"/>
  <c r="G125" i="1"/>
  <c r="I125" i="1" s="1"/>
  <c r="O125" i="1" s="1"/>
  <c r="P125" i="1" s="1"/>
  <c r="G124" i="1"/>
  <c r="I124" i="1" s="1"/>
  <c r="O124" i="1" s="1"/>
  <c r="P124" i="1" s="1"/>
  <c r="F114" i="1"/>
  <c r="Q114" i="1" s="1"/>
  <c r="BA44" i="1"/>
  <c r="G59" i="1"/>
  <c r="K59" i="1" s="1"/>
  <c r="K127" i="1"/>
  <c r="L127" i="1" s="1"/>
  <c r="K121" i="1"/>
  <c r="L121" i="1" s="1"/>
  <c r="D184" i="1"/>
  <c r="O184" i="1" s="1"/>
  <c r="F63" i="1"/>
  <c r="J63" i="1" s="1"/>
  <c r="M63" i="1" s="1"/>
  <c r="I74" i="1"/>
  <c r="L74" i="1" s="1"/>
  <c r="G69" i="1"/>
  <c r="K69" i="1" s="1"/>
  <c r="G114" i="1"/>
  <c r="I114" i="1" s="1"/>
  <c r="N114" i="1" s="1"/>
  <c r="G118" i="1"/>
  <c r="I118" i="1" s="1"/>
  <c r="O118" i="1" s="1"/>
  <c r="P118" i="1" s="1"/>
  <c r="G122" i="1"/>
  <c r="I122" i="1" s="1"/>
  <c r="N122" i="1" s="1"/>
  <c r="G126" i="1"/>
  <c r="I126" i="1" s="1"/>
  <c r="O126" i="1" s="1"/>
  <c r="P126" i="1" s="1"/>
  <c r="G130" i="1"/>
  <c r="I130" i="1" s="1"/>
  <c r="O130" i="1" s="1"/>
  <c r="P130" i="1" s="1"/>
  <c r="G138" i="1"/>
  <c r="I138" i="1" s="1"/>
  <c r="N138" i="1" s="1"/>
  <c r="G115" i="1"/>
  <c r="I115" i="1" s="1"/>
  <c r="N115" i="1" s="1"/>
  <c r="G123" i="1"/>
  <c r="I123" i="1" s="1"/>
  <c r="N123" i="1" s="1"/>
  <c r="G127" i="1"/>
  <c r="I127" i="1" s="1"/>
  <c r="N127" i="1" s="1"/>
  <c r="F113" i="1"/>
  <c r="R113" i="1" s="1"/>
  <c r="S113" i="1" s="1"/>
  <c r="L160" i="1"/>
  <c r="Q160" i="1" s="1"/>
  <c r="G133" i="1"/>
  <c r="I133" i="1" s="1"/>
  <c r="N133" i="1" s="1"/>
  <c r="E192" i="1"/>
  <c r="F192" i="1" s="1"/>
  <c r="Q129" i="1"/>
  <c r="F74" i="1"/>
  <c r="J74" i="1" s="1"/>
  <c r="G84" i="1"/>
  <c r="K84" i="1" s="1"/>
  <c r="C216" i="1"/>
  <c r="E216" i="1" s="1"/>
  <c r="C213" i="1"/>
  <c r="D213" i="1" s="1"/>
  <c r="R112" i="1"/>
  <c r="E203" i="1"/>
  <c r="F203" i="1" s="1"/>
  <c r="F61" i="1"/>
  <c r="J61" i="1" s="1"/>
  <c r="M61" i="1" s="1"/>
  <c r="R120" i="1"/>
  <c r="S120" i="1" s="1"/>
  <c r="J112" i="1"/>
  <c r="Q112" i="1"/>
  <c r="K118" i="1"/>
  <c r="L118" i="1" s="1"/>
  <c r="F115" i="1"/>
  <c r="J115" i="1" s="1"/>
  <c r="L151" i="1"/>
  <c r="L147" i="1"/>
  <c r="P147" i="1" s="1"/>
  <c r="G79" i="1"/>
  <c r="K79" i="1" s="1"/>
  <c r="F82" i="1"/>
  <c r="J82" i="1" s="1"/>
  <c r="K56" i="1"/>
  <c r="I84" i="1"/>
  <c r="L84" i="1" s="1"/>
  <c r="Q120" i="1"/>
  <c r="C228" i="1"/>
  <c r="F228" i="1" s="1"/>
  <c r="C214" i="1"/>
  <c r="G214" i="1" s="1"/>
  <c r="J135" i="1"/>
  <c r="I71" i="1"/>
  <c r="L71" i="1" s="1"/>
  <c r="I82" i="1"/>
  <c r="L82" i="1" s="1"/>
  <c r="C218" i="1"/>
  <c r="E218" i="1" s="1"/>
  <c r="R151" i="1"/>
  <c r="S151" i="1" s="1"/>
  <c r="AG7" i="1"/>
  <c r="AL7" i="1" s="1"/>
  <c r="AY17" i="1" s="1"/>
  <c r="AF8" i="1"/>
  <c r="AG8" i="1" s="1"/>
  <c r="AL8" i="1" s="1"/>
  <c r="AZ17" i="1" s="1"/>
  <c r="G64" i="1"/>
  <c r="K64" i="1" s="1"/>
  <c r="F64" i="1"/>
  <c r="J64" i="1" s="1"/>
  <c r="C174" i="1"/>
  <c r="N174" i="1" s="1"/>
  <c r="C217" i="1"/>
  <c r="E217" i="1" s="1"/>
  <c r="AQ45" i="1"/>
  <c r="R135" i="1"/>
  <c r="S135" i="1" s="1"/>
  <c r="R126" i="1"/>
  <c r="S126" i="1" s="1"/>
  <c r="E201" i="1"/>
  <c r="F201" i="1" s="1"/>
  <c r="R156" i="1"/>
  <c r="T156" i="1" s="1"/>
  <c r="L156" i="1"/>
  <c r="M156" i="1" s="1"/>
  <c r="N156" i="1" s="1"/>
  <c r="C179" i="1"/>
  <c r="N179" i="1" s="1"/>
  <c r="R152" i="1"/>
  <c r="L152" i="1"/>
  <c r="E197" i="1"/>
  <c r="F197" i="1" s="1"/>
  <c r="B175" i="1"/>
  <c r="C219" i="1"/>
  <c r="F219" i="1" s="1"/>
  <c r="C224" i="1"/>
  <c r="J224" i="1" s="1"/>
  <c r="E202" i="1"/>
  <c r="F202" i="1" s="1"/>
  <c r="D180" i="1"/>
  <c r="O180" i="1" s="1"/>
  <c r="C221" i="1"/>
  <c r="I221" i="1" s="1"/>
  <c r="E177" i="1"/>
  <c r="P177" i="1" s="1"/>
  <c r="R154" i="1"/>
  <c r="T154" i="1" s="1"/>
  <c r="C220" i="1"/>
  <c r="L153" i="1"/>
  <c r="E176" i="1"/>
  <c r="P176" i="1" s="1"/>
  <c r="R153" i="1"/>
  <c r="M176" i="1"/>
  <c r="P172" i="1"/>
  <c r="E206" i="1"/>
  <c r="F206" i="1" s="1"/>
  <c r="R161" i="1"/>
  <c r="B184" i="1"/>
  <c r="B183" i="1"/>
  <c r="C227" i="1"/>
  <c r="R160" i="1"/>
  <c r="L155" i="1"/>
  <c r="R155" i="1"/>
  <c r="E200" i="1"/>
  <c r="F200" i="1" s="1"/>
  <c r="C222" i="1"/>
  <c r="AP45" i="1"/>
  <c r="B167" i="1"/>
  <c r="M167" i="1" s="1"/>
  <c r="C211" i="1"/>
  <c r="L144" i="1"/>
  <c r="P144" i="1" s="1"/>
  <c r="E189" i="1"/>
  <c r="F189" i="1" s="1"/>
  <c r="R144" i="1"/>
  <c r="R122" i="1"/>
  <c r="S122" i="1" s="1"/>
  <c r="Q122" i="1"/>
  <c r="K122" i="1"/>
  <c r="L122" i="1" s="1"/>
  <c r="J122" i="1"/>
  <c r="Q125" i="1"/>
  <c r="J125" i="1"/>
  <c r="R125" i="1"/>
  <c r="S125" i="1" s="1"/>
  <c r="K125" i="1"/>
  <c r="L125" i="1" s="1"/>
  <c r="J53" i="1"/>
  <c r="K53" i="1"/>
  <c r="J137" i="1"/>
  <c r="K137" i="1"/>
  <c r="L137" i="1" s="1"/>
  <c r="R137" i="1"/>
  <c r="S137" i="1" s="1"/>
  <c r="Q137" i="1"/>
  <c r="K133" i="1"/>
  <c r="L133" i="1" s="1"/>
  <c r="R133" i="1"/>
  <c r="S133" i="1" s="1"/>
  <c r="J133" i="1"/>
  <c r="Q133" i="1"/>
  <c r="R117" i="1"/>
  <c r="S117" i="1" s="1"/>
  <c r="K117" i="1"/>
  <c r="L117" i="1" s="1"/>
  <c r="Q117" i="1"/>
  <c r="J124" i="1"/>
  <c r="Q124" i="1"/>
  <c r="K124" i="1"/>
  <c r="L124" i="1" s="1"/>
  <c r="K55" i="1"/>
  <c r="R121" i="1"/>
  <c r="S121" i="1" s="1"/>
  <c r="Q121" i="1"/>
  <c r="J127" i="1"/>
  <c r="Q127" i="1"/>
  <c r="J128" i="1"/>
  <c r="R128" i="1"/>
  <c r="S128" i="1" s="1"/>
  <c r="Q128" i="1"/>
  <c r="Q116" i="1"/>
  <c r="K116" i="1"/>
  <c r="L116" i="1" s="1"/>
  <c r="J116" i="1"/>
  <c r="E205" i="1"/>
  <c r="F205" i="1" s="1"/>
  <c r="C176" i="1"/>
  <c r="N176" i="1" s="1"/>
  <c r="E198" i="1"/>
  <c r="F198" i="1" s="1"/>
  <c r="L149" i="1"/>
  <c r="E194" i="1"/>
  <c r="F194" i="1" s="1"/>
  <c r="E193" i="1"/>
  <c r="F193" i="1" s="1"/>
  <c r="B171" i="1"/>
  <c r="M171" i="1" s="1"/>
  <c r="C215" i="1"/>
  <c r="D215" i="1" s="1"/>
  <c r="L148" i="1"/>
  <c r="R145" i="1"/>
  <c r="T145" i="1" s="1"/>
  <c r="J136" i="1"/>
  <c r="K136" i="1"/>
  <c r="L136" i="1" s="1"/>
  <c r="R136" i="1"/>
  <c r="S136" i="1" s="1"/>
  <c r="Q136" i="1"/>
  <c r="J132" i="1"/>
  <c r="Q132" i="1"/>
  <c r="K132" i="1"/>
  <c r="L132" i="1" s="1"/>
  <c r="C226" i="1"/>
  <c r="D226" i="1" s="1"/>
  <c r="D182" i="1"/>
  <c r="O182" i="1" s="1"/>
  <c r="C180" i="1"/>
  <c r="N180" i="1" s="1"/>
  <c r="L157" i="1"/>
  <c r="R157" i="1"/>
  <c r="C223" i="1"/>
  <c r="I223" i="1" s="1"/>
  <c r="D177" i="1"/>
  <c r="O177" i="1" s="1"/>
  <c r="E199" i="1"/>
  <c r="F199" i="1" s="1"/>
  <c r="Q123" i="1"/>
  <c r="R123" i="1"/>
  <c r="S123" i="1" s="1"/>
  <c r="C182" i="1"/>
  <c r="L159" i="1"/>
  <c r="P159" i="1" s="1"/>
  <c r="C181" i="1"/>
  <c r="R158" i="1"/>
  <c r="T158" i="1" s="1"/>
  <c r="R147" i="1"/>
  <c r="B170" i="1"/>
  <c r="L146" i="1"/>
  <c r="B169" i="1"/>
  <c r="E191" i="1"/>
  <c r="F191" i="1" s="1"/>
  <c r="E168" i="1"/>
  <c r="P168" i="1" s="1"/>
  <c r="E190" i="1"/>
  <c r="F190" i="1" s="1"/>
  <c r="L145" i="1"/>
  <c r="R150" i="1"/>
  <c r="T150" i="1" s="1"/>
  <c r="M67" i="1"/>
  <c r="N67" i="1" s="1"/>
  <c r="T67" i="1" s="1"/>
  <c r="B173" i="1"/>
  <c r="L150" i="1"/>
  <c r="Q150" i="1" s="1"/>
  <c r="J54" i="1"/>
  <c r="C225" i="1"/>
  <c r="K48" i="1"/>
  <c r="J134" i="1"/>
  <c r="K134" i="1"/>
  <c r="L134" i="1" s="1"/>
  <c r="M179" i="1"/>
  <c r="J118" i="1"/>
  <c r="R118" i="1"/>
  <c r="S118" i="1" s="1"/>
  <c r="K49" i="1"/>
  <c r="J49" i="1"/>
  <c r="AW44" i="1"/>
  <c r="G117" i="1"/>
  <c r="I117" i="1" s="1"/>
  <c r="N117" i="1" s="1"/>
  <c r="G137" i="1"/>
  <c r="I137" i="1" s="1"/>
  <c r="N137" i="1" s="1"/>
  <c r="AT44" i="1"/>
  <c r="G58" i="1"/>
  <c r="K58" i="1" s="1"/>
  <c r="F58" i="1"/>
  <c r="J58" i="1" s="1"/>
  <c r="M83" i="1"/>
  <c r="P83" i="1" s="1"/>
  <c r="M75" i="1"/>
  <c r="P75" i="1" s="1"/>
  <c r="R130" i="1"/>
  <c r="S130" i="1" s="1"/>
  <c r="Q130" i="1"/>
  <c r="J131" i="1"/>
  <c r="K131" i="1"/>
  <c r="R131" i="1"/>
  <c r="S131" i="1" s="1"/>
  <c r="G121" i="1"/>
  <c r="I121" i="1" s="1"/>
  <c r="N121" i="1" s="1"/>
  <c r="G129" i="1"/>
  <c r="I129" i="1" s="1"/>
  <c r="F168" i="1"/>
  <c r="F70" i="1"/>
  <c r="J70" i="1" s="1"/>
  <c r="I70" i="1"/>
  <c r="L70" i="1" s="1"/>
  <c r="G78" i="1"/>
  <c r="K78" i="1" s="1"/>
  <c r="I78" i="1"/>
  <c r="L78" i="1" s="1"/>
  <c r="F78" i="1"/>
  <c r="J78" i="1" s="1"/>
  <c r="AU44" i="1"/>
  <c r="A3" i="7"/>
  <c r="B3" i="7"/>
  <c r="C3" i="7"/>
  <c r="I72" i="1"/>
  <c r="L72" i="1" s="1"/>
  <c r="G72" i="1"/>
  <c r="K72" i="1" s="1"/>
  <c r="I76" i="1"/>
  <c r="L76" i="1" s="1"/>
  <c r="F76" i="1"/>
  <c r="J76" i="1" s="1"/>
  <c r="G76" i="1"/>
  <c r="K76" i="1" s="1"/>
  <c r="I80" i="1"/>
  <c r="L80" i="1" s="1"/>
  <c r="F80" i="1"/>
  <c r="J80" i="1" s="1"/>
  <c r="L154" i="1"/>
  <c r="J51" i="1"/>
  <c r="G80" i="1"/>
  <c r="K80" i="1" s="1"/>
  <c r="F72" i="1"/>
  <c r="J72" i="1" s="1"/>
  <c r="O84" i="1"/>
  <c r="Q81" i="1"/>
  <c r="Q83" i="1"/>
  <c r="S84" i="1"/>
  <c r="Q75" i="1"/>
  <c r="S81" i="1"/>
  <c r="O76" i="1"/>
  <c r="O83" i="1"/>
  <c r="Q78" i="1"/>
  <c r="Q73" i="1"/>
  <c r="S79" i="1"/>
  <c r="O79" i="1"/>
  <c r="O75" i="1"/>
  <c r="S72" i="1"/>
  <c r="R119" i="1"/>
  <c r="S119" i="1" s="1"/>
  <c r="AG19" i="1" l="1"/>
  <c r="AJ19" i="1"/>
  <c r="AR19" i="1"/>
  <c r="AD19" i="1"/>
  <c r="AM19" i="1"/>
  <c r="AQ19" i="1" s="1"/>
  <c r="BH19" i="1" s="1"/>
  <c r="N68" i="1"/>
  <c r="S68" i="1" s="1"/>
  <c r="AO45" i="1"/>
  <c r="C8" i="7"/>
  <c r="B8" i="7"/>
  <c r="T178" i="1"/>
  <c r="M81" i="1"/>
  <c r="P81" i="1" s="1"/>
  <c r="N131" i="1"/>
  <c r="T167" i="1"/>
  <c r="L48" i="10"/>
  <c r="K48" i="10"/>
  <c r="K56" i="10"/>
  <c r="L56" i="10"/>
  <c r="L55" i="10"/>
  <c r="K55" i="10"/>
  <c r="L52" i="10"/>
  <c r="K52" i="10"/>
  <c r="K54" i="10"/>
  <c r="L54" i="10"/>
  <c r="K50" i="10"/>
  <c r="L50" i="10"/>
  <c r="L51" i="10"/>
  <c r="K51" i="10"/>
  <c r="S112" i="1"/>
  <c r="AB44" i="1"/>
  <c r="M178" i="10"/>
  <c r="P178" i="10" s="1"/>
  <c r="F207" i="10"/>
  <c r="G207" i="10" s="1"/>
  <c r="F213" i="10"/>
  <c r="G213" i="10" s="1"/>
  <c r="F206" i="10"/>
  <c r="S169" i="10"/>
  <c r="U169" i="10" s="1"/>
  <c r="M173" i="10"/>
  <c r="R173" i="10" s="1"/>
  <c r="S161" i="10"/>
  <c r="U161" i="10" s="1"/>
  <c r="M166" i="10"/>
  <c r="F212" i="10"/>
  <c r="G212" i="10" s="1"/>
  <c r="D190" i="10"/>
  <c r="O190" i="10" s="1"/>
  <c r="E191" i="10"/>
  <c r="P191" i="10" s="1"/>
  <c r="D235" i="10"/>
  <c r="N201" i="10"/>
  <c r="M165" i="10"/>
  <c r="D234" i="10"/>
  <c r="N192" i="10"/>
  <c r="M177" i="10"/>
  <c r="D232" i="10"/>
  <c r="E188" i="10"/>
  <c r="P188" i="10" s="1"/>
  <c r="N190" i="10"/>
  <c r="C185" i="10"/>
  <c r="S162" i="10"/>
  <c r="M162" i="10"/>
  <c r="N187" i="10"/>
  <c r="F210" i="10"/>
  <c r="G210" i="10" s="1"/>
  <c r="S163" i="10"/>
  <c r="E192" i="10"/>
  <c r="P192" i="10" s="1"/>
  <c r="D236" i="10"/>
  <c r="C198" i="10"/>
  <c r="S175" i="10"/>
  <c r="M175" i="10"/>
  <c r="E200" i="10"/>
  <c r="P200" i="10" s="1"/>
  <c r="D244" i="10"/>
  <c r="T159" i="1"/>
  <c r="T171" i="1"/>
  <c r="P187" i="10"/>
  <c r="D231" i="10"/>
  <c r="N189" i="10"/>
  <c r="E186" i="10"/>
  <c r="P186" i="10" s="1"/>
  <c r="D230" i="10"/>
  <c r="N188" i="10"/>
  <c r="F211" i="10"/>
  <c r="G211" i="10" s="1"/>
  <c r="S173" i="10"/>
  <c r="S177" i="10"/>
  <c r="F223" i="10"/>
  <c r="G223" i="10" s="1"/>
  <c r="D201" i="10"/>
  <c r="O201" i="10" s="1"/>
  <c r="C194" i="10"/>
  <c r="M171" i="10"/>
  <c r="S171" i="10"/>
  <c r="F217" i="10"/>
  <c r="G217" i="10" s="1"/>
  <c r="D195" i="10"/>
  <c r="O195" i="10" s="1"/>
  <c r="D240" i="10"/>
  <c r="E196" i="10"/>
  <c r="P196" i="10" s="1"/>
  <c r="M176" i="10"/>
  <c r="S176" i="10"/>
  <c r="C199" i="10"/>
  <c r="D200" i="10"/>
  <c r="O200" i="10" s="1"/>
  <c r="F222" i="10"/>
  <c r="G222" i="10" s="1"/>
  <c r="D245" i="10"/>
  <c r="E184" i="10"/>
  <c r="P184" i="10" s="1"/>
  <c r="D228" i="10"/>
  <c r="G228" i="10" s="1"/>
  <c r="N186" i="10"/>
  <c r="C193" i="10"/>
  <c r="M170" i="10"/>
  <c r="S170" i="10"/>
  <c r="F216" i="10"/>
  <c r="G216" i="10" s="1"/>
  <c r="D194" i="10"/>
  <c r="O194" i="10" s="1"/>
  <c r="D239" i="10"/>
  <c r="E195" i="10"/>
  <c r="P195" i="10" s="1"/>
  <c r="C197" i="10"/>
  <c r="S174" i="10"/>
  <c r="M174" i="10"/>
  <c r="Q178" i="10"/>
  <c r="F219" i="10"/>
  <c r="G219" i="10" s="1"/>
  <c r="E198" i="10"/>
  <c r="P198" i="10" s="1"/>
  <c r="D242" i="10"/>
  <c r="N200" i="10"/>
  <c r="D185" i="10"/>
  <c r="O185" i="10" s="1"/>
  <c r="D187" i="10"/>
  <c r="O187" i="10" s="1"/>
  <c r="F209" i="10"/>
  <c r="G209" i="10" s="1"/>
  <c r="M167" i="10"/>
  <c r="D184" i="10"/>
  <c r="O184" i="10" s="1"/>
  <c r="S164" i="10"/>
  <c r="F221" i="10"/>
  <c r="G221" i="10" s="1"/>
  <c r="J178" i="1"/>
  <c r="F208" i="10"/>
  <c r="G208" i="10" s="1"/>
  <c r="D186" i="10"/>
  <c r="O186" i="10" s="1"/>
  <c r="S166" i="10"/>
  <c r="F220" i="10"/>
  <c r="G220" i="10" s="1"/>
  <c r="D243" i="10"/>
  <c r="S178" i="10"/>
  <c r="S165" i="10"/>
  <c r="M169" i="10"/>
  <c r="F215" i="10"/>
  <c r="G215" i="10" s="1"/>
  <c r="D238" i="10"/>
  <c r="N196" i="10"/>
  <c r="S167" i="10"/>
  <c r="M161" i="10"/>
  <c r="M164" i="10"/>
  <c r="E189" i="10"/>
  <c r="P189" i="10" s="1"/>
  <c r="D233" i="10"/>
  <c r="C191" i="10"/>
  <c r="M168" i="10"/>
  <c r="S168" i="10"/>
  <c r="D192" i="10"/>
  <c r="O192" i="10" s="1"/>
  <c r="F214" i="10"/>
  <c r="G214" i="10" s="1"/>
  <c r="E193" i="10"/>
  <c r="P193" i="10" s="1"/>
  <c r="D237" i="10"/>
  <c r="C195" i="10"/>
  <c r="M172" i="10"/>
  <c r="S172" i="10"/>
  <c r="F218" i="10"/>
  <c r="G218" i="10" s="1"/>
  <c r="D241" i="10"/>
  <c r="D229" i="10"/>
  <c r="E185" i="10"/>
  <c r="P185" i="10" s="1"/>
  <c r="M163" i="10"/>
  <c r="K115" i="1"/>
  <c r="L115" i="1" s="1"/>
  <c r="AN45" i="10"/>
  <c r="AN17" i="10"/>
  <c r="BJ17" i="10"/>
  <c r="M62" i="1"/>
  <c r="M69" i="1"/>
  <c r="G212" i="1"/>
  <c r="O158" i="1"/>
  <c r="O136" i="1"/>
  <c r="P136" i="1" s="1"/>
  <c r="N132" i="1"/>
  <c r="B5" i="7"/>
  <c r="C5" i="7"/>
  <c r="A11" i="7"/>
  <c r="M59" i="1"/>
  <c r="O134" i="1"/>
  <c r="P134" i="1" s="1"/>
  <c r="N126" i="1"/>
  <c r="M77" i="1"/>
  <c r="P77" i="1" s="1"/>
  <c r="U77" i="1" s="1"/>
  <c r="M65" i="1"/>
  <c r="N65" i="1" s="1"/>
  <c r="T65" i="1" s="1"/>
  <c r="N112" i="1"/>
  <c r="O122" i="1"/>
  <c r="P122" i="1" s="1"/>
  <c r="E226" i="1"/>
  <c r="N113" i="1"/>
  <c r="M73" i="1"/>
  <c r="P73" i="1" s="1"/>
  <c r="U73" i="1" s="1"/>
  <c r="E212" i="1"/>
  <c r="O161" i="1"/>
  <c r="N125" i="1"/>
  <c r="M158" i="1"/>
  <c r="N158" i="1" s="1"/>
  <c r="P158" i="1"/>
  <c r="N120" i="1"/>
  <c r="D212" i="1"/>
  <c r="Q161" i="1"/>
  <c r="M161" i="1"/>
  <c r="N161" i="1" s="1"/>
  <c r="J212" i="1"/>
  <c r="O138" i="1"/>
  <c r="P138" i="1" s="1"/>
  <c r="N128" i="1"/>
  <c r="O114" i="1"/>
  <c r="P114" i="1" s="1"/>
  <c r="M160" i="1"/>
  <c r="N160" i="1" s="1"/>
  <c r="N124" i="1"/>
  <c r="O123" i="1"/>
  <c r="P123" i="1" s="1"/>
  <c r="G228" i="1"/>
  <c r="T151" i="1"/>
  <c r="R114" i="1"/>
  <c r="S114" i="1" s="1"/>
  <c r="J171" i="1"/>
  <c r="N118" i="1"/>
  <c r="N119" i="1"/>
  <c r="E224" i="1"/>
  <c r="G219" i="1"/>
  <c r="T146" i="1"/>
  <c r="T177" i="1"/>
  <c r="I214" i="1"/>
  <c r="O147" i="1"/>
  <c r="E213" i="1"/>
  <c r="J114" i="1"/>
  <c r="N116" i="1"/>
  <c r="F218" i="1"/>
  <c r="S156" i="1"/>
  <c r="S149" i="1"/>
  <c r="J113" i="1"/>
  <c r="G213" i="1"/>
  <c r="S148" i="1"/>
  <c r="J213" i="1"/>
  <c r="J221" i="1"/>
  <c r="Q113" i="1"/>
  <c r="I213" i="1"/>
  <c r="K113" i="1"/>
  <c r="L113" i="1" s="1"/>
  <c r="J167" i="1"/>
  <c r="S150" i="1"/>
  <c r="P160" i="1"/>
  <c r="O135" i="1"/>
  <c r="P135" i="1" s="1"/>
  <c r="Q147" i="1"/>
  <c r="Q115" i="1"/>
  <c r="I212" i="1"/>
  <c r="F217" i="1"/>
  <c r="N130" i="1"/>
  <c r="R115" i="1"/>
  <c r="S115" i="1" s="1"/>
  <c r="J172" i="1"/>
  <c r="D217" i="1"/>
  <c r="S145" i="1"/>
  <c r="I228" i="1"/>
  <c r="O115" i="1"/>
  <c r="P115" i="1" s="1"/>
  <c r="O127" i="1"/>
  <c r="P127" i="1" s="1"/>
  <c r="T179" i="1"/>
  <c r="T172" i="1"/>
  <c r="E228" i="1"/>
  <c r="O160" i="1"/>
  <c r="G216" i="1"/>
  <c r="O117" i="1"/>
  <c r="P117" i="1" s="1"/>
  <c r="T180" i="1"/>
  <c r="M147" i="1"/>
  <c r="N147" i="1" s="1"/>
  <c r="F213" i="1"/>
  <c r="J174" i="1"/>
  <c r="K114" i="1"/>
  <c r="L114" i="1" s="1"/>
  <c r="F214" i="1"/>
  <c r="I216" i="1"/>
  <c r="D216" i="1"/>
  <c r="B11" i="7"/>
  <c r="M58" i="1"/>
  <c r="S158" i="1"/>
  <c r="J217" i="1"/>
  <c r="F216" i="1"/>
  <c r="O159" i="1"/>
  <c r="O156" i="1"/>
  <c r="Q159" i="1"/>
  <c r="I224" i="1"/>
  <c r="J214" i="1"/>
  <c r="E214" i="1"/>
  <c r="O133" i="1"/>
  <c r="P133" i="1" s="1"/>
  <c r="S154" i="1"/>
  <c r="G224" i="1"/>
  <c r="M159" i="1"/>
  <c r="N159" i="1" s="1"/>
  <c r="D214" i="1"/>
  <c r="I217" i="1"/>
  <c r="J216" i="1"/>
  <c r="T174" i="1"/>
  <c r="T176" i="1"/>
  <c r="N61" i="1"/>
  <c r="T61" i="1" s="1"/>
  <c r="P61" i="1"/>
  <c r="P67" i="1"/>
  <c r="AL45" i="1"/>
  <c r="J180" i="1"/>
  <c r="F207" i="1"/>
  <c r="J228" i="1"/>
  <c r="D228" i="1"/>
  <c r="M151" i="1"/>
  <c r="N151" i="1" s="1"/>
  <c r="Q151" i="1"/>
  <c r="P151" i="1"/>
  <c r="O151" i="1"/>
  <c r="G217" i="1"/>
  <c r="G218" i="1"/>
  <c r="D218" i="1"/>
  <c r="I218" i="1"/>
  <c r="J218" i="1"/>
  <c r="J177" i="1"/>
  <c r="B24" i="8"/>
  <c r="C229" i="1"/>
  <c r="I44" i="1"/>
  <c r="M82" i="1"/>
  <c r="P82" i="1" s="1"/>
  <c r="U82" i="1" s="1"/>
  <c r="M66" i="1"/>
  <c r="P66" i="1" s="1"/>
  <c r="M70" i="1"/>
  <c r="N70" i="1" s="1"/>
  <c r="T70" i="1" s="1"/>
  <c r="M74" i="1"/>
  <c r="P74" i="1" s="1"/>
  <c r="U74" i="1" s="1"/>
  <c r="O145" i="1"/>
  <c r="Q145" i="1"/>
  <c r="M145" i="1"/>
  <c r="N145" i="1" s="1"/>
  <c r="P145" i="1"/>
  <c r="AJ5" i="6" s="1"/>
  <c r="D223" i="1"/>
  <c r="E223" i="1"/>
  <c r="F223" i="1"/>
  <c r="Q155" i="1"/>
  <c r="M155" i="1"/>
  <c r="N155" i="1" s="1"/>
  <c r="P155" i="1"/>
  <c r="O155" i="1"/>
  <c r="M184" i="1"/>
  <c r="T184" i="1" s="1"/>
  <c r="J184" i="1"/>
  <c r="O121" i="1"/>
  <c r="P121" i="1" s="1"/>
  <c r="M64" i="1"/>
  <c r="E207" i="1"/>
  <c r="M170" i="1"/>
  <c r="T170" i="1" s="1"/>
  <c r="J170" i="1"/>
  <c r="I215" i="1"/>
  <c r="E215" i="1"/>
  <c r="J215" i="1"/>
  <c r="F215" i="1"/>
  <c r="G215" i="1"/>
  <c r="M149" i="1"/>
  <c r="N149" i="1" s="1"/>
  <c r="O149" i="1"/>
  <c r="Q149" i="1"/>
  <c r="P149" i="1"/>
  <c r="O144" i="1"/>
  <c r="AN4" i="6"/>
  <c r="Q144" i="1"/>
  <c r="M144" i="1"/>
  <c r="N144" i="1" s="1"/>
  <c r="T155" i="1"/>
  <c r="S155" i="1"/>
  <c r="M183" i="1"/>
  <c r="T183" i="1" s="1"/>
  <c r="J183" i="1"/>
  <c r="J176" i="1"/>
  <c r="F220" i="1"/>
  <c r="E220" i="1"/>
  <c r="J220" i="1"/>
  <c r="G220" i="1"/>
  <c r="D220" i="1"/>
  <c r="I220" i="1"/>
  <c r="J219" i="1"/>
  <c r="I219" i="1"/>
  <c r="E219" i="1"/>
  <c r="D219" i="1"/>
  <c r="S152" i="1"/>
  <c r="T152" i="1"/>
  <c r="O150" i="1"/>
  <c r="P150" i="1"/>
  <c r="N182" i="1"/>
  <c r="T182" i="1" s="1"/>
  <c r="J182" i="1"/>
  <c r="E211" i="1"/>
  <c r="G211" i="1"/>
  <c r="D211" i="1"/>
  <c r="F211" i="1"/>
  <c r="I211" i="1"/>
  <c r="J211" i="1"/>
  <c r="M175" i="1"/>
  <c r="T175" i="1" s="1"/>
  <c r="J175" i="1"/>
  <c r="G223" i="1"/>
  <c r="J173" i="1"/>
  <c r="M173" i="1"/>
  <c r="T173" i="1" s="1"/>
  <c r="M169" i="1"/>
  <c r="T169" i="1" s="1"/>
  <c r="J169" i="1"/>
  <c r="S157" i="1"/>
  <c r="T157" i="1"/>
  <c r="F226" i="1"/>
  <c r="G226" i="1"/>
  <c r="I226" i="1"/>
  <c r="J226" i="1"/>
  <c r="J179" i="1"/>
  <c r="T144" i="1"/>
  <c r="S144" i="1"/>
  <c r="E222" i="1"/>
  <c r="D222" i="1"/>
  <c r="F222" i="1"/>
  <c r="I222" i="1"/>
  <c r="G222" i="1"/>
  <c r="J222" i="1"/>
  <c r="T160" i="1"/>
  <c r="S160" i="1"/>
  <c r="S161" i="1"/>
  <c r="T161" i="1"/>
  <c r="D224" i="1"/>
  <c r="F224" i="1"/>
  <c r="P156" i="1"/>
  <c r="Q156" i="1"/>
  <c r="T147" i="1"/>
  <c r="S147" i="1"/>
  <c r="S153" i="1"/>
  <c r="T153" i="1"/>
  <c r="M84" i="1"/>
  <c r="P84" i="1" s="1"/>
  <c r="U84" i="1" s="1"/>
  <c r="J223" i="1"/>
  <c r="M150" i="1"/>
  <c r="N150" i="1" s="1"/>
  <c r="D225" i="1"/>
  <c r="F225" i="1"/>
  <c r="E225" i="1"/>
  <c r="I225" i="1"/>
  <c r="J225" i="1"/>
  <c r="G225" i="1"/>
  <c r="P146" i="1"/>
  <c r="O146" i="1"/>
  <c r="Q146" i="1"/>
  <c r="M146" i="1"/>
  <c r="N146" i="1" s="1"/>
  <c r="N181" i="1"/>
  <c r="T181" i="1" s="1"/>
  <c r="J181" i="1"/>
  <c r="O157" i="1"/>
  <c r="M157" i="1"/>
  <c r="N157" i="1" s="1"/>
  <c r="P157" i="1"/>
  <c r="Q157" i="1"/>
  <c r="M148" i="1"/>
  <c r="N148" i="1" s="1"/>
  <c r="P148" i="1"/>
  <c r="Q148" i="1"/>
  <c r="O148" i="1"/>
  <c r="G227" i="1"/>
  <c r="I227" i="1"/>
  <c r="E227" i="1"/>
  <c r="J227" i="1"/>
  <c r="D227" i="1"/>
  <c r="F227" i="1"/>
  <c r="M153" i="1"/>
  <c r="N153" i="1" s="1"/>
  <c r="O153" i="1"/>
  <c r="Q153" i="1"/>
  <c r="P153" i="1"/>
  <c r="F221" i="1"/>
  <c r="D221" i="1"/>
  <c r="E221" i="1"/>
  <c r="G221" i="1"/>
  <c r="O152" i="1"/>
  <c r="P152" i="1"/>
  <c r="Q152" i="1"/>
  <c r="M152" i="1"/>
  <c r="N152" i="1" s="1"/>
  <c r="N63" i="1"/>
  <c r="T63" i="1" s="1"/>
  <c r="P63" i="1"/>
  <c r="N60" i="1"/>
  <c r="O60" i="1" s="1"/>
  <c r="P60" i="1"/>
  <c r="BE44" i="1"/>
  <c r="T68" i="1"/>
  <c r="M78" i="1"/>
  <c r="P78" i="1" s="1"/>
  <c r="U78" i="1" s="1"/>
  <c r="M76" i="1"/>
  <c r="P76" i="1" s="1"/>
  <c r="U76" i="1" s="1"/>
  <c r="AX44" i="1"/>
  <c r="N69" i="1"/>
  <c r="M80" i="1"/>
  <c r="P80" i="1" s="1"/>
  <c r="U80" i="1" s="1"/>
  <c r="O14" i="6"/>
  <c r="P14" i="6" s="1"/>
  <c r="M71" i="1"/>
  <c r="P71" i="1" s="1"/>
  <c r="U71" i="1" s="1"/>
  <c r="O129" i="1"/>
  <c r="P129" i="1" s="1"/>
  <c r="N129" i="1"/>
  <c r="O137" i="1"/>
  <c r="P137" i="1" s="1"/>
  <c r="M72" i="1"/>
  <c r="P72" i="1" s="1"/>
  <c r="U72" i="1" s="1"/>
  <c r="U83" i="1"/>
  <c r="AV44" i="1"/>
  <c r="BF44" i="1"/>
  <c r="P154" i="1"/>
  <c r="O154" i="1"/>
  <c r="M154" i="1"/>
  <c r="N154" i="1" s="1"/>
  <c r="Q154" i="1"/>
  <c r="Q168" i="1"/>
  <c r="T168" i="1" s="1"/>
  <c r="J168" i="1"/>
  <c r="L131" i="1"/>
  <c r="M79" i="1"/>
  <c r="P79" i="1" s="1"/>
  <c r="U79" i="1" s="1"/>
  <c r="U81" i="1"/>
  <c r="U75" i="1"/>
  <c r="O67" i="1"/>
  <c r="S67" i="1"/>
  <c r="Q67" i="1"/>
  <c r="O15" i="6"/>
  <c r="P15" i="6" s="1"/>
  <c r="P59" i="1" l="1"/>
  <c r="AC18" i="1"/>
  <c r="Y19" i="1"/>
  <c r="AY45" i="1"/>
  <c r="AZ45" i="1"/>
  <c r="Q68" i="1"/>
  <c r="O68" i="1"/>
  <c r="N58" i="1"/>
  <c r="T58" i="1" s="1"/>
  <c r="AC17" i="1"/>
  <c r="B16" i="8"/>
  <c r="B14" i="8"/>
  <c r="P62" i="1"/>
  <c r="N62" i="1"/>
  <c r="B20" i="8"/>
  <c r="B17" i="8"/>
  <c r="B26" i="8"/>
  <c r="N59" i="1"/>
  <c r="T59" i="1" s="1"/>
  <c r="B22" i="8"/>
  <c r="B28" i="8"/>
  <c r="T169" i="10"/>
  <c r="Q173" i="10"/>
  <c r="B21" i="8"/>
  <c r="B29" i="8"/>
  <c r="AN44" i="10"/>
  <c r="AQ45" i="10"/>
  <c r="AP34" i="6"/>
  <c r="N178" i="10"/>
  <c r="O178" i="10" s="1"/>
  <c r="R178" i="10"/>
  <c r="J44" i="10"/>
  <c r="R139" i="1"/>
  <c r="P173" i="10"/>
  <c r="P65" i="1"/>
  <c r="U184" i="10"/>
  <c r="K196" i="10"/>
  <c r="N173" i="10"/>
  <c r="O173" i="10" s="1"/>
  <c r="T161" i="10"/>
  <c r="K200" i="10"/>
  <c r="K190" i="10"/>
  <c r="U190" i="10"/>
  <c r="U192" i="10"/>
  <c r="G229" i="10"/>
  <c r="H229" i="10"/>
  <c r="K229" i="10"/>
  <c r="E229" i="10"/>
  <c r="J229" i="10"/>
  <c r="F229" i="10"/>
  <c r="R172" i="10"/>
  <c r="N172" i="10"/>
  <c r="O172" i="10" s="1"/>
  <c r="Q172" i="10"/>
  <c r="P172" i="10"/>
  <c r="N191" i="10"/>
  <c r="U191" i="10" s="1"/>
  <c r="K191" i="10"/>
  <c r="Q161" i="10"/>
  <c r="P161" i="10"/>
  <c r="R161" i="10"/>
  <c r="N161" i="10"/>
  <c r="E238" i="10"/>
  <c r="K238" i="10"/>
  <c r="H238" i="10"/>
  <c r="J238" i="10"/>
  <c r="F238" i="10"/>
  <c r="G238" i="10"/>
  <c r="U178" i="10"/>
  <c r="T178" i="10"/>
  <c r="U164" i="10"/>
  <c r="T164" i="10"/>
  <c r="U174" i="10"/>
  <c r="T174" i="10"/>
  <c r="N193" i="10"/>
  <c r="U193" i="10" s="1"/>
  <c r="K193" i="10"/>
  <c r="N199" i="10"/>
  <c r="U199" i="10" s="1"/>
  <c r="K199" i="10"/>
  <c r="J236" i="10"/>
  <c r="E236" i="10"/>
  <c r="G236" i="10"/>
  <c r="K236" i="10"/>
  <c r="H236" i="10"/>
  <c r="F236" i="10"/>
  <c r="U162" i="10"/>
  <c r="T162" i="10"/>
  <c r="U201" i="10"/>
  <c r="G241" i="10"/>
  <c r="E241" i="10"/>
  <c r="K241" i="10"/>
  <c r="J241" i="10"/>
  <c r="F241" i="10"/>
  <c r="H241" i="10"/>
  <c r="N195" i="10"/>
  <c r="U195" i="10" s="1"/>
  <c r="K195" i="10"/>
  <c r="F233" i="10"/>
  <c r="H233" i="10"/>
  <c r="J233" i="10"/>
  <c r="G233" i="10"/>
  <c r="E233" i="10"/>
  <c r="K233" i="10"/>
  <c r="U167" i="10"/>
  <c r="T167" i="10"/>
  <c r="E243" i="10"/>
  <c r="F243" i="10"/>
  <c r="H243" i="10"/>
  <c r="J243" i="10"/>
  <c r="G243" i="10"/>
  <c r="K243" i="10"/>
  <c r="U200" i="10"/>
  <c r="N197" i="10"/>
  <c r="U197" i="10" s="1"/>
  <c r="K197" i="10"/>
  <c r="K186" i="10"/>
  <c r="F245" i="10"/>
  <c r="J245" i="10"/>
  <c r="E245" i="10"/>
  <c r="G245" i="10"/>
  <c r="H245" i="10"/>
  <c r="K245" i="10"/>
  <c r="T176" i="10"/>
  <c r="U176" i="10"/>
  <c r="U196" i="10"/>
  <c r="T171" i="10"/>
  <c r="U171" i="10"/>
  <c r="K188" i="10"/>
  <c r="K189" i="10"/>
  <c r="N175" i="10"/>
  <c r="O175" i="10" s="1"/>
  <c r="Q175" i="10"/>
  <c r="P175" i="10"/>
  <c r="R175" i="10"/>
  <c r="K187" i="10"/>
  <c r="N185" i="10"/>
  <c r="U185" i="10" s="1"/>
  <c r="K185" i="10"/>
  <c r="J232" i="10"/>
  <c r="E232" i="10"/>
  <c r="F232" i="10"/>
  <c r="H232" i="10"/>
  <c r="K232" i="10"/>
  <c r="G232" i="10"/>
  <c r="H234" i="10"/>
  <c r="E234" i="10"/>
  <c r="G234" i="10"/>
  <c r="K234" i="10"/>
  <c r="J234" i="10"/>
  <c r="F234" i="10"/>
  <c r="H235" i="10"/>
  <c r="K235" i="10"/>
  <c r="J235" i="10"/>
  <c r="G235" i="10"/>
  <c r="E235" i="10"/>
  <c r="F235" i="10"/>
  <c r="N166" i="10"/>
  <c r="O166" i="10" s="1"/>
  <c r="Q166" i="10"/>
  <c r="P166" i="10"/>
  <c r="R166" i="10"/>
  <c r="P163" i="10"/>
  <c r="R163" i="10"/>
  <c r="N163" i="10"/>
  <c r="O163" i="10" s="1"/>
  <c r="Q163" i="10"/>
  <c r="K237" i="10"/>
  <c r="E237" i="10"/>
  <c r="F237" i="10"/>
  <c r="G237" i="10"/>
  <c r="J237" i="10"/>
  <c r="H237" i="10"/>
  <c r="U168" i="10"/>
  <c r="T168" i="10"/>
  <c r="N169" i="10"/>
  <c r="O169" i="10" s="1"/>
  <c r="Q169" i="10"/>
  <c r="P169" i="10"/>
  <c r="R169" i="10"/>
  <c r="F224" i="10"/>
  <c r="G206" i="10"/>
  <c r="G224" i="10" s="1"/>
  <c r="H242" i="10"/>
  <c r="E242" i="10"/>
  <c r="G242" i="10"/>
  <c r="K242" i="10"/>
  <c r="J242" i="10"/>
  <c r="F242" i="10"/>
  <c r="T170" i="10"/>
  <c r="U170" i="10"/>
  <c r="U186" i="10"/>
  <c r="N176" i="10"/>
  <c r="O176" i="10" s="1"/>
  <c r="Q176" i="10"/>
  <c r="P176" i="10"/>
  <c r="R176" i="10"/>
  <c r="J240" i="10"/>
  <c r="E240" i="10"/>
  <c r="F240" i="10"/>
  <c r="H240" i="10"/>
  <c r="K240" i="10"/>
  <c r="G240" i="10"/>
  <c r="R171" i="10"/>
  <c r="N171" i="10"/>
  <c r="O171" i="10" s="1"/>
  <c r="Q171" i="10"/>
  <c r="P171" i="10"/>
  <c r="U177" i="10"/>
  <c r="T177" i="10"/>
  <c r="U188" i="10"/>
  <c r="U189" i="10"/>
  <c r="T175" i="10"/>
  <c r="U175" i="10"/>
  <c r="U163" i="10"/>
  <c r="T163" i="10"/>
  <c r="U187" i="10"/>
  <c r="P177" i="10"/>
  <c r="N177" i="10"/>
  <c r="O177" i="10" s="1"/>
  <c r="R177" i="10"/>
  <c r="Q177" i="10"/>
  <c r="R165" i="10"/>
  <c r="N165" i="10"/>
  <c r="O165" i="10" s="1"/>
  <c r="P165" i="10"/>
  <c r="Q165" i="10"/>
  <c r="T172" i="10"/>
  <c r="U172" i="10"/>
  <c r="N168" i="10"/>
  <c r="O168" i="10" s="1"/>
  <c r="Q168" i="10"/>
  <c r="P168" i="10"/>
  <c r="R168" i="10"/>
  <c r="P164" i="10"/>
  <c r="R164" i="10"/>
  <c r="N164" i="10"/>
  <c r="O164" i="10" s="1"/>
  <c r="Q164" i="10"/>
  <c r="U165" i="10"/>
  <c r="T165" i="10"/>
  <c r="T166" i="10"/>
  <c r="U166" i="10"/>
  <c r="N167" i="10"/>
  <c r="O167" i="10" s="1"/>
  <c r="Q167" i="10"/>
  <c r="P167" i="10"/>
  <c r="R167" i="10"/>
  <c r="N174" i="10"/>
  <c r="O174" i="10" s="1"/>
  <c r="Q174" i="10"/>
  <c r="P174" i="10"/>
  <c r="R174" i="10"/>
  <c r="F239" i="10"/>
  <c r="J239" i="10"/>
  <c r="K239" i="10"/>
  <c r="E239" i="10"/>
  <c r="G239" i="10"/>
  <c r="H239" i="10"/>
  <c r="Q170" i="10"/>
  <c r="P170" i="10"/>
  <c r="N170" i="10"/>
  <c r="O170" i="10" s="1"/>
  <c r="R170" i="10"/>
  <c r="F228" i="10"/>
  <c r="J228" i="10"/>
  <c r="K228" i="10"/>
  <c r="H228" i="10"/>
  <c r="D246" i="10"/>
  <c r="E228" i="10"/>
  <c r="K184" i="10"/>
  <c r="N194" i="10"/>
  <c r="U194" i="10" s="1"/>
  <c r="K194" i="10"/>
  <c r="T173" i="10"/>
  <c r="U173" i="10"/>
  <c r="H230" i="10"/>
  <c r="J230" i="10"/>
  <c r="G230" i="10"/>
  <c r="F230" i="10"/>
  <c r="E230" i="10"/>
  <c r="K230" i="10"/>
  <c r="H231" i="10"/>
  <c r="F231" i="10"/>
  <c r="J231" i="10"/>
  <c r="K231" i="10"/>
  <c r="G231" i="10"/>
  <c r="E231" i="10"/>
  <c r="E244" i="10"/>
  <c r="K244" i="10"/>
  <c r="H244" i="10"/>
  <c r="J244" i="10"/>
  <c r="F244" i="10"/>
  <c r="G244" i="10"/>
  <c r="N198" i="10"/>
  <c r="U198" i="10" s="1"/>
  <c r="K198" i="10"/>
  <c r="R162" i="10"/>
  <c r="N162" i="10"/>
  <c r="O162" i="10" s="1"/>
  <c r="P162" i="10"/>
  <c r="Q162" i="10"/>
  <c r="K192" i="10"/>
  <c r="K201" i="10"/>
  <c r="P69" i="1"/>
  <c r="AA17" i="10"/>
  <c r="Q65" i="1"/>
  <c r="O65" i="1"/>
  <c r="S65" i="1"/>
  <c r="O11" i="6"/>
  <c r="P11" i="6" s="1"/>
  <c r="O13" i="6"/>
  <c r="P13" i="6" s="1"/>
  <c r="S139" i="1"/>
  <c r="O70" i="1"/>
  <c r="K139" i="1"/>
  <c r="P58" i="1"/>
  <c r="O63" i="1"/>
  <c r="P70" i="1"/>
  <c r="AL44" i="1"/>
  <c r="O7" i="6"/>
  <c r="P7" i="6" s="1"/>
  <c r="AP17" i="6"/>
  <c r="L139" i="1"/>
  <c r="AP18" i="6"/>
  <c r="AP21" i="6"/>
  <c r="S162" i="1"/>
  <c r="T162" i="1" s="1"/>
  <c r="O61" i="1"/>
  <c r="S61" i="1"/>
  <c r="Q61" i="1"/>
  <c r="Q58" i="1"/>
  <c r="O9" i="6"/>
  <c r="P9" i="6" s="1"/>
  <c r="T186" i="1"/>
  <c r="AP25" i="6"/>
  <c r="AP23" i="6"/>
  <c r="AP30" i="6"/>
  <c r="AP15" i="6"/>
  <c r="O6" i="6"/>
  <c r="P6" i="6" s="1"/>
  <c r="O139" i="1"/>
  <c r="S60" i="1"/>
  <c r="O8" i="6"/>
  <c r="P8" i="6" s="1"/>
  <c r="AP29" i="6"/>
  <c r="P139" i="1"/>
  <c r="N64" i="1"/>
  <c r="T64" i="1" s="1"/>
  <c r="U68" i="1"/>
  <c r="N66" i="1"/>
  <c r="J229" i="1"/>
  <c r="Q63" i="1"/>
  <c r="Q60" i="1"/>
  <c r="P64" i="1"/>
  <c r="J185" i="1"/>
  <c r="O162" i="1"/>
  <c r="T60" i="1"/>
  <c r="Q162" i="1"/>
  <c r="S63" i="1"/>
  <c r="N162" i="1"/>
  <c r="AJ4" i="6"/>
  <c r="T69" i="1"/>
  <c r="O69" i="1"/>
  <c r="Q69" i="1"/>
  <c r="S69" i="1"/>
  <c r="M162" i="1"/>
  <c r="O10" i="6"/>
  <c r="P10" i="6" s="1"/>
  <c r="B9" i="8"/>
  <c r="U67" i="1"/>
  <c r="O16" i="6"/>
  <c r="P16" i="6" s="1"/>
  <c r="Q70" i="1"/>
  <c r="S70" i="1"/>
  <c r="S58" i="1" l="1"/>
  <c r="O58" i="1"/>
  <c r="B45" i="1"/>
  <c r="AJ18" i="1"/>
  <c r="AR18" i="1"/>
  <c r="AG18" i="1"/>
  <c r="AD18" i="1"/>
  <c r="AM18" i="1"/>
  <c r="AP28" i="6"/>
  <c r="B27" i="8"/>
  <c r="AP20" i="6"/>
  <c r="B19" i="8"/>
  <c r="AP19" i="6"/>
  <c r="B18" i="8"/>
  <c r="AP26" i="6"/>
  <c r="B25" i="8"/>
  <c r="AP24" i="6"/>
  <c r="B23" i="8"/>
  <c r="AP27" i="6"/>
  <c r="AP22" i="6"/>
  <c r="AD17" i="1"/>
  <c r="AM17" i="1"/>
  <c r="AQ17" i="1" s="1"/>
  <c r="BH17" i="1" s="1"/>
  <c r="AJ17" i="1"/>
  <c r="AR17" i="1"/>
  <c r="AG17" i="1"/>
  <c r="T62" i="1"/>
  <c r="S62" i="1"/>
  <c r="Q62" i="1"/>
  <c r="O62" i="1"/>
  <c r="O59" i="1"/>
  <c r="Q59" i="1"/>
  <c r="S59" i="1"/>
  <c r="O4" i="6"/>
  <c r="P4" i="6" s="1"/>
  <c r="O5" i="6"/>
  <c r="P5" i="6" s="1"/>
  <c r="BL45" i="10"/>
  <c r="AA45" i="10" s="1"/>
  <c r="R179" i="10"/>
  <c r="T179" i="10"/>
  <c r="U179" i="10" s="1"/>
  <c r="K246" i="10"/>
  <c r="K202" i="10"/>
  <c r="N179" i="10"/>
  <c r="O161" i="10"/>
  <c r="O179" i="10" s="1"/>
  <c r="P179" i="10"/>
  <c r="U203" i="10"/>
  <c r="U65" i="1"/>
  <c r="B15" i="8"/>
  <c r="C45" i="1"/>
  <c r="B33" i="8" s="1"/>
  <c r="C32" i="8" s="1"/>
  <c r="P85" i="1"/>
  <c r="U58" i="1"/>
  <c r="U61" i="1"/>
  <c r="Q64" i="1"/>
  <c r="S64" i="1"/>
  <c r="AP10" i="6"/>
  <c r="O64" i="1"/>
  <c r="U63" i="1"/>
  <c r="U60" i="1"/>
  <c r="O12" i="6"/>
  <c r="P12" i="6" s="1"/>
  <c r="Q66" i="1"/>
  <c r="O66" i="1"/>
  <c r="S66" i="1"/>
  <c r="T66" i="1"/>
  <c r="T85" i="1" s="1"/>
  <c r="Z88" i="1" s="1"/>
  <c r="AA88" i="1" s="1"/>
  <c r="U69" i="1"/>
  <c r="U70" i="1"/>
  <c r="AH25" i="1" l="1"/>
  <c r="AI25" i="1" s="1"/>
  <c r="AH24" i="1"/>
  <c r="AI24" i="1" s="1"/>
  <c r="AH37" i="1"/>
  <c r="AI37" i="1" s="1"/>
  <c r="AH18" i="1"/>
  <c r="AI18" i="1" s="1"/>
  <c r="AH34" i="1"/>
  <c r="AI34" i="1" s="1"/>
  <c r="AH40" i="1"/>
  <c r="AI40" i="1" s="1"/>
  <c r="AH19" i="1"/>
  <c r="AI19" i="1" s="1"/>
  <c r="AH27" i="1"/>
  <c r="AI27" i="1" s="1"/>
  <c r="AH31" i="1"/>
  <c r="AI31" i="1" s="1"/>
  <c r="AH39" i="1"/>
  <c r="AI39" i="1" s="1"/>
  <c r="AH20" i="1"/>
  <c r="AI20" i="1" s="1"/>
  <c r="AH36" i="1"/>
  <c r="AI36" i="1" s="1"/>
  <c r="AH30" i="1"/>
  <c r="AI30" i="1" s="1"/>
  <c r="AH21" i="1"/>
  <c r="AI21" i="1" s="1"/>
  <c r="AH29" i="1"/>
  <c r="AI29" i="1" s="1"/>
  <c r="AH33" i="1"/>
  <c r="AI33" i="1" s="1"/>
  <c r="AH41" i="1"/>
  <c r="AI41" i="1" s="1"/>
  <c r="AH28" i="1"/>
  <c r="AI28" i="1" s="1"/>
  <c r="AH38" i="1"/>
  <c r="AI38" i="1" s="1"/>
  <c r="AH42" i="1"/>
  <c r="AI42" i="1" s="1"/>
  <c r="AH23" i="1"/>
  <c r="AI23" i="1" s="1"/>
  <c r="AH26" i="1"/>
  <c r="AI26" i="1" s="1"/>
  <c r="AH35" i="1"/>
  <c r="AI35" i="1" s="1"/>
  <c r="AH43" i="1"/>
  <c r="AI43" i="1" s="1"/>
  <c r="AH32" i="1"/>
  <c r="AI32" i="1" s="1"/>
  <c r="AH22" i="1"/>
  <c r="AI22" i="1" s="1"/>
  <c r="AE19" i="1"/>
  <c r="AF19" i="1" s="1"/>
  <c r="AE28" i="1"/>
  <c r="AF28" i="1" s="1"/>
  <c r="AE34" i="1"/>
  <c r="AF34" i="1" s="1"/>
  <c r="AE39" i="1"/>
  <c r="AF39" i="1" s="1"/>
  <c r="AE41" i="1"/>
  <c r="AF41" i="1" s="1"/>
  <c r="AE33" i="1"/>
  <c r="AF33" i="1" s="1"/>
  <c r="AE40" i="1"/>
  <c r="AF40" i="1" s="1"/>
  <c r="AE22" i="1"/>
  <c r="AF22" i="1" s="1"/>
  <c r="AE21" i="1"/>
  <c r="AF21" i="1" s="1"/>
  <c r="AE26" i="1"/>
  <c r="AF26" i="1" s="1"/>
  <c r="AE30" i="1"/>
  <c r="AF30" i="1" s="1"/>
  <c r="AE43" i="1"/>
  <c r="AF43" i="1" s="1"/>
  <c r="AE37" i="1"/>
  <c r="AF37" i="1" s="1"/>
  <c r="AE20" i="1"/>
  <c r="AF20" i="1" s="1"/>
  <c r="AE24" i="1"/>
  <c r="AF24" i="1" s="1"/>
  <c r="AE27" i="1"/>
  <c r="AF27" i="1" s="1"/>
  <c r="AE32" i="1"/>
  <c r="AF32" i="1" s="1"/>
  <c r="AE23" i="1"/>
  <c r="AF23" i="1" s="1"/>
  <c r="AE42" i="1"/>
  <c r="AF42" i="1" s="1"/>
  <c r="AE18" i="1"/>
  <c r="AF18" i="1" s="1"/>
  <c r="AE25" i="1"/>
  <c r="AF25" i="1" s="1"/>
  <c r="AE29" i="1"/>
  <c r="AF29" i="1" s="1"/>
  <c r="AE35" i="1"/>
  <c r="AF35" i="1" s="1"/>
  <c r="AE36" i="1"/>
  <c r="AF36" i="1" s="1"/>
  <c r="AE31" i="1"/>
  <c r="AF31" i="1" s="1"/>
  <c r="AE38" i="1"/>
  <c r="AF38" i="1" s="1"/>
  <c r="U59" i="1"/>
  <c r="AQ18" i="1"/>
  <c r="BH18" i="1" s="1"/>
  <c r="AP6" i="6"/>
  <c r="B5" i="8"/>
  <c r="AP9" i="6"/>
  <c r="B8" i="8"/>
  <c r="AP11" i="6"/>
  <c r="B10" i="8"/>
  <c r="AP7" i="6"/>
  <c r="B6" i="8"/>
  <c r="AP14" i="6"/>
  <c r="B13" i="8"/>
  <c r="AP13" i="6"/>
  <c r="B12" i="8"/>
  <c r="AP8" i="6"/>
  <c r="B7" i="8"/>
  <c r="Y17" i="1"/>
  <c r="B3" i="8" s="1"/>
  <c r="AH17" i="1"/>
  <c r="AI17" i="1" s="1"/>
  <c r="AE17" i="1"/>
  <c r="AF17" i="1" s="1"/>
  <c r="U62" i="1"/>
  <c r="AR44" i="1"/>
  <c r="AA44" i="10"/>
  <c r="C45" i="10"/>
  <c r="BK45" i="10" s="1"/>
  <c r="AA46" i="10" s="1"/>
  <c r="D45" i="10"/>
  <c r="AP4" i="6"/>
  <c r="Q85" i="1"/>
  <c r="Z96" i="1" s="1"/>
  <c r="AA96" i="1" s="1"/>
  <c r="S85" i="1"/>
  <c r="R85" i="1" s="1"/>
  <c r="Z87" i="1" s="1"/>
  <c r="AA87" i="1" s="1"/>
  <c r="U64" i="1"/>
  <c r="O85" i="1"/>
  <c r="Z99" i="1" s="1"/>
  <c r="AA99" i="1" s="1"/>
  <c r="AM44" i="1"/>
  <c r="AJ44" i="1"/>
  <c r="U66" i="1"/>
  <c r="AP16" i="6"/>
  <c r="AR45" i="1"/>
  <c r="Y18" i="1" l="1"/>
  <c r="B4" i="8" s="1"/>
  <c r="C2" i="8" s="1"/>
  <c r="AP5" i="6"/>
  <c r="AP12" i="6"/>
  <c r="B11" i="8"/>
  <c r="Z94" i="1"/>
  <c r="AA94" i="1" s="1"/>
  <c r="Z90" i="1"/>
  <c r="AA90" i="1" s="1"/>
  <c r="Z91" i="1"/>
  <c r="AA91" i="1" s="1"/>
  <c r="Z92" i="1"/>
  <c r="AA92" i="1" s="1"/>
  <c r="Z98" i="1"/>
  <c r="AA98" i="1" s="1"/>
  <c r="Z93" i="1"/>
  <c r="AA93" i="1" s="1"/>
  <c r="AJ45" i="1"/>
  <c r="AI44" i="1"/>
  <c r="AG45" i="1"/>
  <c r="AF44" i="1"/>
  <c r="Z97" i="1"/>
  <c r="AA97" i="1" s="1"/>
  <c r="U85" i="1"/>
  <c r="Z85" i="1" s="1"/>
  <c r="AA85" i="1" s="1"/>
  <c r="Z89" i="1"/>
  <c r="AA89" i="1" s="1"/>
  <c r="Z95" i="1"/>
  <c r="AA95" i="1" s="1"/>
  <c r="BI45" i="1" l="1"/>
  <c r="Y46" i="1" s="1"/>
  <c r="AA78" i="1"/>
  <c r="BJ45" i="1" s="1"/>
  <c r="Y45" i="1" s="1"/>
  <c r="Z80" i="1"/>
  <c r="Y44" i="1" s="1"/>
  <c r="X9" i="2" l="1"/>
  <c r="K40" i="2"/>
  <c r="X35" i="2"/>
  <c r="X34" i="2"/>
  <c r="X30" i="2"/>
  <c r="X22" i="2"/>
  <c r="X18" i="2"/>
  <c r="X10" i="2"/>
  <c r="X33" i="2"/>
  <c r="X29" i="2"/>
  <c r="X25" i="2"/>
  <c r="X21" i="2"/>
  <c r="X17" i="2"/>
  <c r="X13" i="2"/>
  <c r="X32" i="2"/>
  <c r="X28" i="2"/>
  <c r="X24" i="2"/>
  <c r="X20" i="2"/>
  <c r="X16" i="2"/>
  <c r="X12" i="2"/>
  <c r="X31" i="2"/>
  <c r="X27" i="2"/>
  <c r="X23" i="2"/>
  <c r="X19" i="2"/>
  <c r="X15" i="2"/>
  <c r="X11" i="2"/>
  <c r="X26" i="2"/>
  <c r="X14" i="2"/>
  <c r="H10" i="2"/>
  <c r="H9" i="2"/>
  <c r="G9" i="2"/>
  <c r="B31" i="8"/>
  <c r="C30" i="8" s="1"/>
  <c r="T35" i="2"/>
  <c r="K34" i="2"/>
  <c r="AC22" i="2"/>
  <c r="K24" i="2"/>
  <c r="S25" i="2"/>
  <c r="E27" i="2"/>
  <c r="N27" i="2" s="1"/>
  <c r="H31" i="2"/>
  <c r="G31" i="2"/>
  <c r="P32" i="2"/>
  <c r="Y33" i="2"/>
  <c r="G35" i="2"/>
  <c r="P22" i="2"/>
  <c r="Y23" i="2"/>
  <c r="F25" i="2"/>
  <c r="W25" i="2"/>
  <c r="R26" i="2"/>
  <c r="I28" i="2"/>
  <c r="Z29" i="2"/>
  <c r="L32" i="2"/>
  <c r="L29" i="2"/>
  <c r="Z33" i="2"/>
  <c r="L30" i="2"/>
  <c r="H29" i="2"/>
  <c r="Q30" i="2"/>
  <c r="U28" i="2"/>
  <c r="U29" i="2"/>
  <c r="AD30" i="2"/>
  <c r="Q34" i="2"/>
  <c r="U31" i="2"/>
  <c r="Z31" i="2"/>
  <c r="H35" i="2"/>
  <c r="AD32" i="2"/>
  <c r="H33" i="2"/>
  <c r="U35" i="2"/>
  <c r="Q32" i="2"/>
  <c r="L34" i="2"/>
  <c r="Z35" i="2"/>
  <c r="U33" i="2"/>
  <c r="AD34" i="2"/>
  <c r="AD29" i="2"/>
  <c r="U30" i="2"/>
  <c r="L31" i="2"/>
  <c r="AD31" i="2"/>
  <c r="U32" i="2"/>
  <c r="L33" i="2"/>
  <c r="AD33" i="2"/>
  <c r="U34" i="2"/>
  <c r="L35" i="2"/>
  <c r="AD35" i="2"/>
  <c r="E28" i="2"/>
  <c r="M28" i="2" s="1"/>
  <c r="Z28" i="2"/>
  <c r="Q29" i="2"/>
  <c r="H30" i="2"/>
  <c r="Z30" i="2"/>
  <c r="Q31" i="2"/>
  <c r="H32" i="2"/>
  <c r="Z32" i="2"/>
  <c r="Q33" i="2"/>
  <c r="H34" i="2"/>
  <c r="Z34" i="2"/>
  <c r="Q35" i="2"/>
  <c r="X36" i="2" l="1"/>
  <c r="X38" i="2"/>
  <c r="AE27" i="2"/>
  <c r="T31" i="2"/>
  <c r="Q28" i="2"/>
  <c r="F26" i="2"/>
  <c r="W24" i="2"/>
  <c r="P23" i="2"/>
  <c r="H22" i="2"/>
  <c r="Y34" i="2"/>
  <c r="P33" i="2"/>
  <c r="G32" i="2"/>
  <c r="Y30" i="2"/>
  <c r="Y29" i="2"/>
  <c r="G29" i="2"/>
  <c r="P28" i="2"/>
  <c r="Z27" i="2"/>
  <c r="H27" i="2"/>
  <c r="Q26" i="2"/>
  <c r="V25" i="2"/>
  <c r="AA24" i="2"/>
  <c r="F24" i="2"/>
  <c r="O23" i="2"/>
  <c r="W22" i="2"/>
  <c r="W35" i="2"/>
  <c r="F35" i="2"/>
  <c r="O34" i="2"/>
  <c r="W33" i="2"/>
  <c r="F33" i="2"/>
  <c r="O32" i="2"/>
  <c r="W31" i="2"/>
  <c r="F31" i="2"/>
  <c r="O30" i="2"/>
  <c r="W29" i="2"/>
  <c r="F29" i="2"/>
  <c r="O28" i="2"/>
  <c r="Y27" i="2"/>
  <c r="G27" i="2"/>
  <c r="P26" i="2"/>
  <c r="R35" i="2"/>
  <c r="V34" i="2"/>
  <c r="AA33" i="2"/>
  <c r="E33" i="2"/>
  <c r="M33" i="2" s="1"/>
  <c r="I32" i="2"/>
  <c r="R31" i="2"/>
  <c r="V30" i="2"/>
  <c r="AA29" i="2"/>
  <c r="E29" i="2"/>
  <c r="M29" i="2" s="1"/>
  <c r="J28" i="2"/>
  <c r="S27" i="2"/>
  <c r="O26" i="2"/>
  <c r="AD24" i="2"/>
  <c r="E23" i="2"/>
  <c r="M23" i="2" s="1"/>
  <c r="Z21" i="2"/>
  <c r="H21" i="2"/>
  <c r="Q20" i="2"/>
  <c r="V19" i="2"/>
  <c r="AA18" i="2"/>
  <c r="F18" i="2"/>
  <c r="O17" i="2"/>
  <c r="W16" i="2"/>
  <c r="G16" i="2"/>
  <c r="P15" i="2"/>
  <c r="Y14" i="2"/>
  <c r="H14" i="2"/>
  <c r="Q13" i="2"/>
  <c r="Z12" i="2"/>
  <c r="E12" i="2"/>
  <c r="I11" i="2"/>
  <c r="R10" i="2"/>
  <c r="AB26" i="2"/>
  <c r="K25" i="2"/>
  <c r="AD23" i="2"/>
  <c r="U22" i="2"/>
  <c r="T21" i="2"/>
  <c r="AC20" i="2"/>
  <c r="L20" i="2"/>
  <c r="U19" i="2"/>
  <c r="AD18" i="2"/>
  <c r="I18" i="2"/>
  <c r="R17" i="2"/>
  <c r="V16" i="2"/>
  <c r="AB15" i="2"/>
  <c r="J15" i="2"/>
  <c r="S14" i="2"/>
  <c r="AC13" i="2"/>
  <c r="K13" i="2"/>
  <c r="T12" i="2"/>
  <c r="V27" i="2"/>
  <c r="AB25" i="2"/>
  <c r="S24" i="2"/>
  <c r="K23" i="2"/>
  <c r="AC35" i="2"/>
  <c r="T34" i="2"/>
  <c r="K33" i="2"/>
  <c r="AC31" i="2"/>
  <c r="T30" i="2"/>
  <c r="T29" i="2"/>
  <c r="AC28" i="2"/>
  <c r="L28" i="2"/>
  <c r="U27" i="2"/>
  <c r="AD26" i="2"/>
  <c r="I26" i="2"/>
  <c r="R25" i="2"/>
  <c r="V24" i="2"/>
  <c r="AB23" i="2"/>
  <c r="J23" i="2"/>
  <c r="S22" i="2"/>
  <c r="S35" i="2"/>
  <c r="AB34" i="2"/>
  <c r="J34" i="2"/>
  <c r="S33" i="2"/>
  <c r="AB32" i="2"/>
  <c r="J32" i="2"/>
  <c r="S31" i="2"/>
  <c r="AB30" i="2"/>
  <c r="J30" i="2"/>
  <c r="S29" i="2"/>
  <c r="AB28" i="2"/>
  <c r="K28" i="2"/>
  <c r="T27" i="2"/>
  <c r="AC26" i="2"/>
  <c r="L26" i="2"/>
  <c r="I35" i="2"/>
  <c r="R34" i="2"/>
  <c r="V33" i="2"/>
  <c r="AA32" i="2"/>
  <c r="E32" i="2"/>
  <c r="M32" i="2" s="1"/>
  <c r="I31" i="2"/>
  <c r="R30" i="2"/>
  <c r="V29" i="2"/>
  <c r="AA28" i="2"/>
  <c r="F28" i="2"/>
  <c r="O27" i="2"/>
  <c r="AD25" i="2"/>
  <c r="U24" i="2"/>
  <c r="V22" i="2"/>
  <c r="U21" i="2"/>
  <c r="AD20" i="2"/>
  <c r="I20" i="2"/>
  <c r="R19" i="2"/>
  <c r="V18" i="2"/>
  <c r="AB17" i="2"/>
  <c r="J17" i="2"/>
  <c r="S16" i="2"/>
  <c r="AC15" i="2"/>
  <c r="K15" i="2"/>
  <c r="T14" i="2"/>
  <c r="AD13" i="2"/>
  <c r="L13" i="2"/>
  <c r="U12" i="2"/>
  <c r="AA11" i="2"/>
  <c r="E11" i="2"/>
  <c r="M11" i="2" s="1"/>
  <c r="J10" i="2"/>
  <c r="K26" i="2"/>
  <c r="AC24" i="2"/>
  <c r="U23" i="2"/>
  <c r="G22" i="2"/>
  <c r="P21" i="2"/>
  <c r="Y20" i="2"/>
  <c r="H20" i="2"/>
  <c r="Q19" i="2"/>
  <c r="Z18" i="2"/>
  <c r="E18" i="2"/>
  <c r="AE18" i="2" s="1"/>
  <c r="I17" i="2"/>
  <c r="R16" i="2"/>
  <c r="AA26" i="2"/>
  <c r="O25" i="2"/>
  <c r="G24" i="2"/>
  <c r="Y22" i="2"/>
  <c r="P35" i="2"/>
  <c r="G34" i="2"/>
  <c r="Y32" i="2"/>
  <c r="P31" i="2"/>
  <c r="G30" i="2"/>
  <c r="P29" i="2"/>
  <c r="Y28" i="2"/>
  <c r="H28" i="2"/>
  <c r="Q27" i="2"/>
  <c r="Z26" i="2"/>
  <c r="E26" i="2"/>
  <c r="N26" i="2" s="1"/>
  <c r="I25" i="2"/>
  <c r="R24" i="2"/>
  <c r="W23" i="2"/>
  <c r="F23" i="2"/>
  <c r="O22" i="2"/>
  <c r="O35" i="2"/>
  <c r="W34" i="2"/>
  <c r="F34" i="2"/>
  <c r="O33" i="2"/>
  <c r="W32" i="2"/>
  <c r="F32" i="2"/>
  <c r="O31" i="2"/>
  <c r="W30" i="2"/>
  <c r="F30" i="2"/>
  <c r="O29" i="2"/>
  <c r="W28" i="2"/>
  <c r="G28" i="2"/>
  <c r="P27" i="2"/>
  <c r="Y26" i="2"/>
  <c r="AA35" i="2"/>
  <c r="E35" i="2"/>
  <c r="M35" i="2" s="1"/>
  <c r="I34" i="2"/>
  <c r="R33" i="2"/>
  <c r="V32" i="2"/>
  <c r="AA31" i="2"/>
  <c r="E31" i="2"/>
  <c r="M31" i="2" s="1"/>
  <c r="I30" i="2"/>
  <c r="R29" i="2"/>
  <c r="V28" i="2"/>
  <c r="AB27" i="2"/>
  <c r="J27" i="2"/>
  <c r="U25" i="2"/>
  <c r="E24" i="2"/>
  <c r="N24" i="2" s="1"/>
  <c r="I22" i="2"/>
  <c r="Q21" i="2"/>
  <c r="Z20" i="2"/>
  <c r="E20" i="2"/>
  <c r="AE20" i="2" s="1"/>
  <c r="I19" i="2"/>
  <c r="R18" i="2"/>
  <c r="W17" i="2"/>
  <c r="F17" i="2"/>
  <c r="O16" i="2"/>
  <c r="Y15" i="2"/>
  <c r="G15" i="2"/>
  <c r="P14" i="2"/>
  <c r="Z13" i="2"/>
  <c r="H13" i="2"/>
  <c r="Q12" i="2"/>
  <c r="V11" i="2"/>
  <c r="AA10" i="2"/>
  <c r="F10" i="2"/>
  <c r="AC25" i="2"/>
  <c r="T24" i="2"/>
  <c r="L23" i="2"/>
  <c r="AC21" i="2"/>
  <c r="K21" i="2"/>
  <c r="T20" i="2"/>
  <c r="AD19" i="2"/>
  <c r="L19" i="2"/>
  <c r="U18" i="2"/>
  <c r="AA17" i="2"/>
  <c r="E17" i="2"/>
  <c r="J16" i="2"/>
  <c r="S15" i="2"/>
  <c r="AB14" i="2"/>
  <c r="K14" i="2"/>
  <c r="T13" i="2"/>
  <c r="AD28" i="2"/>
  <c r="V26" i="2"/>
  <c r="J25" i="2"/>
  <c r="AC23" i="2"/>
  <c r="T22" i="2"/>
  <c r="K35" i="2"/>
  <c r="AC33" i="2"/>
  <c r="T32" i="2"/>
  <c r="K31" i="2"/>
  <c r="AC29" i="2"/>
  <c r="K29" i="2"/>
  <c r="T28" i="2"/>
  <c r="AD27" i="2"/>
  <c r="L27" i="2"/>
  <c r="B27" i="2" s="1"/>
  <c r="C27" i="2" s="1"/>
  <c r="U26" i="2"/>
  <c r="AA25" i="2"/>
  <c r="E25" i="2"/>
  <c r="M25" i="2" s="1"/>
  <c r="J24" i="2"/>
  <c r="S23" i="2"/>
  <c r="AB22" i="2"/>
  <c r="AB35" i="2"/>
  <c r="J35" i="2"/>
  <c r="S34" i="2"/>
  <c r="AB33" i="2"/>
  <c r="J33" i="2"/>
  <c r="S32" i="2"/>
  <c r="AB31" i="2"/>
  <c r="J31" i="2"/>
  <c r="S30" i="2"/>
  <c r="AB29" i="2"/>
  <c r="J29" i="2"/>
  <c r="S28" i="2"/>
  <c r="AC27" i="2"/>
  <c r="K27" i="2"/>
  <c r="T26" i="2"/>
  <c r="V35" i="2"/>
  <c r="AA34" i="2"/>
  <c r="E34" i="2"/>
  <c r="M34" i="2" s="1"/>
  <c r="I33" i="2"/>
  <c r="R32" i="2"/>
  <c r="V31" i="2"/>
  <c r="AA30" i="2"/>
  <c r="E30" i="2"/>
  <c r="M30" i="2" s="1"/>
  <c r="I29" i="2"/>
  <c r="R28" i="2"/>
  <c r="W27" i="2"/>
  <c r="F27" i="2"/>
  <c r="L25" i="2"/>
  <c r="V23" i="2"/>
  <c r="AD21" i="2"/>
  <c r="L21" i="2"/>
  <c r="U20" i="2"/>
  <c r="AA19" i="2"/>
  <c r="E19" i="2"/>
  <c r="M19" i="2" s="1"/>
  <c r="J18" i="2"/>
  <c r="S17" i="2"/>
  <c r="AB16" i="2"/>
  <c r="K16" i="2"/>
  <c r="T15" i="2"/>
  <c r="AC14" i="2"/>
  <c r="L14" i="2"/>
  <c r="U13" i="2"/>
  <c r="AD12" i="2"/>
  <c r="I12" i="2"/>
  <c r="R11" i="2"/>
  <c r="V10" i="2"/>
  <c r="AB9" i="2"/>
  <c r="T25" i="2"/>
  <c r="L24" i="2"/>
  <c r="AD22" i="2"/>
  <c r="Y21" i="2"/>
  <c r="G21" i="2"/>
  <c r="P20" i="2"/>
  <c r="Z19" i="2"/>
  <c r="H19" i="2"/>
  <c r="AA16" i="2"/>
  <c r="F15" i="2"/>
  <c r="Y13" i="2"/>
  <c r="Y12" i="2"/>
  <c r="AD11" i="2"/>
  <c r="L11" i="2"/>
  <c r="U10" i="2"/>
  <c r="Q25" i="2"/>
  <c r="I24" i="2"/>
  <c r="AA22" i="2"/>
  <c r="AB21" i="2"/>
  <c r="J21" i="2"/>
  <c r="S20" i="2"/>
  <c r="AC19" i="2"/>
  <c r="K19" i="2"/>
  <c r="T18" i="2"/>
  <c r="AD17" i="2"/>
  <c r="L17" i="2"/>
  <c r="U16" i="2"/>
  <c r="AA15" i="2"/>
  <c r="E15" i="2"/>
  <c r="P25" i="2"/>
  <c r="H24" i="2"/>
  <c r="Z22" i="2"/>
  <c r="AA21" i="2"/>
  <c r="E21" i="2"/>
  <c r="M21" i="2" s="1"/>
  <c r="J20" i="2"/>
  <c r="S19" i="2"/>
  <c r="AB18" i="2"/>
  <c r="K18" i="2"/>
  <c r="T17" i="2"/>
  <c r="AC16" i="2"/>
  <c r="L16" i="2"/>
  <c r="R14" i="2"/>
  <c r="J13" i="2"/>
  <c r="AC11" i="2"/>
  <c r="T10" i="2"/>
  <c r="Y9" i="2"/>
  <c r="E9" i="2"/>
  <c r="Q14" i="2"/>
  <c r="I13" i="2"/>
  <c r="AB11" i="2"/>
  <c r="S10" i="2"/>
  <c r="S9" i="2"/>
  <c r="Z15" i="2"/>
  <c r="W13" i="2"/>
  <c r="O12" i="2"/>
  <c r="G11" i="2"/>
  <c r="G10" i="2"/>
  <c r="K9" i="2"/>
  <c r="U14" i="2"/>
  <c r="V12" i="2"/>
  <c r="F11" i="2"/>
  <c r="E10" i="2"/>
  <c r="N9" i="2"/>
  <c r="M27" i="2"/>
  <c r="K47" i="2"/>
  <c r="O47" i="2" s="1"/>
  <c r="AF47" i="2" s="1"/>
  <c r="K42" i="2"/>
  <c r="K48" i="2"/>
  <c r="O48" i="2" s="1"/>
  <c r="Z9" i="2"/>
  <c r="K49" i="2"/>
  <c r="O49" i="2" s="1"/>
  <c r="F9" i="2"/>
  <c r="K50" i="2"/>
  <c r="O50" i="2" s="1"/>
  <c r="R9" i="2"/>
  <c r="K10" i="2"/>
  <c r="K46" i="2"/>
  <c r="O46" i="2" s="1"/>
  <c r="AF46" i="2" s="1"/>
  <c r="K41" i="2"/>
  <c r="O41" i="2" s="1"/>
  <c r="F16" i="2"/>
  <c r="W14" i="2"/>
  <c r="P13" i="2"/>
  <c r="P12" i="2"/>
  <c r="Z11" i="2"/>
  <c r="H11" i="2"/>
  <c r="W26" i="2"/>
  <c r="H25" i="2"/>
  <c r="AA23" i="2"/>
  <c r="R22" i="2"/>
  <c r="W21" i="2"/>
  <c r="F21" i="2"/>
  <c r="O20" i="2"/>
  <c r="Y19" i="2"/>
  <c r="G19" i="2"/>
  <c r="P18" i="2"/>
  <c r="Z17" i="2"/>
  <c r="H17" i="2"/>
  <c r="Q16" i="2"/>
  <c r="V15" i="2"/>
  <c r="S26" i="2"/>
  <c r="G25" i="2"/>
  <c r="Z23" i="2"/>
  <c r="Q22" i="2"/>
  <c r="V21" i="2"/>
  <c r="AA20" i="2"/>
  <c r="F20" i="2"/>
  <c r="O19" i="2"/>
  <c r="W18" i="2"/>
  <c r="G18" i="2"/>
  <c r="P17" i="2"/>
  <c r="Y16" i="2"/>
  <c r="H16" i="2"/>
  <c r="J14" i="2"/>
  <c r="AB12" i="2"/>
  <c r="T11" i="2"/>
  <c r="O10" i="2"/>
  <c r="T9" i="2"/>
  <c r="AD15" i="2"/>
  <c r="I14" i="2"/>
  <c r="AA12" i="2"/>
  <c r="S11" i="2"/>
  <c r="O9" i="2"/>
  <c r="H15" i="2"/>
  <c r="O13" i="2"/>
  <c r="G12" i="2"/>
  <c r="Y10" i="2"/>
  <c r="AA9" i="2"/>
  <c r="E14" i="2"/>
  <c r="F12" i="2"/>
  <c r="W10" i="2"/>
  <c r="J9" i="2"/>
  <c r="K43" i="2"/>
  <c r="O43" i="2" s="1"/>
  <c r="K44" i="2"/>
  <c r="O44" i="2" s="1"/>
  <c r="O40" i="2"/>
  <c r="AD14" i="2"/>
  <c r="Q18" i="2"/>
  <c r="W15" i="2"/>
  <c r="O14" i="2"/>
  <c r="G13" i="2"/>
  <c r="L12" i="2"/>
  <c r="U11" i="2"/>
  <c r="AD10" i="2"/>
  <c r="H26" i="2"/>
  <c r="Z24" i="2"/>
  <c r="R23" i="2"/>
  <c r="K22" i="2"/>
  <c r="S21" i="2"/>
  <c r="AB20" i="2"/>
  <c r="K20" i="2"/>
  <c r="T19" i="2"/>
  <c r="AC18" i="2"/>
  <c r="L18" i="2"/>
  <c r="U17" i="2"/>
  <c r="AD16" i="2"/>
  <c r="I16" i="2"/>
  <c r="R15" i="2"/>
  <c r="G26" i="2"/>
  <c r="Y24" i="2"/>
  <c r="Q23" i="2"/>
  <c r="J22" i="2"/>
  <c r="R21" i="2"/>
  <c r="V20" i="2"/>
  <c r="AB19" i="2"/>
  <c r="J19" i="2"/>
  <c r="S18" i="2"/>
  <c r="AC17" i="2"/>
  <c r="K17" i="2"/>
  <c r="T16" i="2"/>
  <c r="Q15" i="2"/>
  <c r="AB13" i="2"/>
  <c r="S12" i="2"/>
  <c r="K11" i="2"/>
  <c r="I10" i="2"/>
  <c r="P9" i="2"/>
  <c r="L15" i="2"/>
  <c r="AA13" i="2"/>
  <c r="R12" i="2"/>
  <c r="J11" i="2"/>
  <c r="AC9" i="2"/>
  <c r="L9" i="2"/>
  <c r="V14" i="2"/>
  <c r="F13" i="2"/>
  <c r="Y11" i="2"/>
  <c r="Q10" i="2"/>
  <c r="V9" i="2"/>
  <c r="U15" i="2"/>
  <c r="V13" i="2"/>
  <c r="W11" i="2"/>
  <c r="P10" i="2"/>
  <c r="U9" i="2"/>
  <c r="K45" i="2"/>
  <c r="O45" i="2" s="1"/>
  <c r="AF45" i="2" s="1"/>
  <c r="O11" i="2"/>
  <c r="Q9" i="2"/>
  <c r="V17" i="2"/>
  <c r="O15" i="2"/>
  <c r="G14" i="2"/>
  <c r="AC12" i="2"/>
  <c r="H12" i="2"/>
  <c r="Q11" i="2"/>
  <c r="Z10" i="2"/>
  <c r="Z25" i="2"/>
  <c r="Q24" i="2"/>
  <c r="I23" i="2"/>
  <c r="F22" i="2"/>
  <c r="O21" i="2"/>
  <c r="W20" i="2"/>
  <c r="G20" i="2"/>
  <c r="P19" i="2"/>
  <c r="Y18" i="2"/>
  <c r="H18" i="2"/>
  <c r="Q17" i="2"/>
  <c r="Z16" i="2"/>
  <c r="E16" i="2"/>
  <c r="I15" i="2"/>
  <c r="Y25" i="2"/>
  <c r="P24" i="2"/>
  <c r="H23" i="2"/>
  <c r="E22" i="2"/>
  <c r="N22" i="2" s="1"/>
  <c r="I21" i="2"/>
  <c r="R20" i="2"/>
  <c r="W19" i="2"/>
  <c r="F19" i="2"/>
  <c r="O18" i="2"/>
  <c r="Y17" i="2"/>
  <c r="G17" i="2"/>
  <c r="P16" i="2"/>
  <c r="AA14" i="2"/>
  <c r="S13" i="2"/>
  <c r="K12" i="2"/>
  <c r="AC10" i="2"/>
  <c r="AD9" i="2"/>
  <c r="I9" i="2"/>
  <c r="Z14" i="2"/>
  <c r="R13" i="2"/>
  <c r="J12" i="2"/>
  <c r="AB10" i="2"/>
  <c r="W9" i="2"/>
  <c r="F14" i="2"/>
  <c r="W12" i="2"/>
  <c r="P11" i="2"/>
  <c r="L10" i="2"/>
  <c r="E13" i="2"/>
  <c r="K51" i="2"/>
  <c r="O51" i="2" s="1"/>
  <c r="G23" i="2"/>
  <c r="P34" i="2"/>
  <c r="Y31" i="2"/>
  <c r="AA27" i="2"/>
  <c r="AB24" i="2"/>
  <c r="L22" i="2"/>
  <c r="T33" i="2"/>
  <c r="AC30" i="2"/>
  <c r="B23" i="3"/>
  <c r="AC32" i="2"/>
  <c r="K30" i="2"/>
  <c r="I27" i="2"/>
  <c r="O24" i="2"/>
  <c r="Y35" i="2"/>
  <c r="G33" i="2"/>
  <c r="P30" i="2"/>
  <c r="J26" i="2"/>
  <c r="T23" i="2"/>
  <c r="AC34" i="2"/>
  <c r="K32" i="2"/>
  <c r="R27" i="2"/>
  <c r="AE28" i="2"/>
  <c r="N28" i="2"/>
  <c r="O42" i="2" l="1"/>
  <c r="AF42" i="2" s="1"/>
  <c r="K52" i="2"/>
  <c r="B36" i="3" s="1"/>
  <c r="AE9" i="2"/>
  <c r="AF9" i="2" s="1"/>
  <c r="A9" i="2" s="1"/>
  <c r="M9" i="2"/>
  <c r="B28" i="2"/>
  <c r="C28" i="2" s="1"/>
  <c r="Q38" i="2"/>
  <c r="U38" i="2"/>
  <c r="AF28" i="2"/>
  <c r="A28" i="2" s="1"/>
  <c r="U36" i="2"/>
  <c r="Z36" i="2"/>
  <c r="AF18" i="2"/>
  <c r="A18" i="2" s="1"/>
  <c r="B24" i="2"/>
  <c r="C24" i="2" s="1"/>
  <c r="AD36" i="2"/>
  <c r="Q36" i="2"/>
  <c r="O36" i="2"/>
  <c r="M20" i="2"/>
  <c r="N20" i="2"/>
  <c r="B20" i="2" s="1"/>
  <c r="C20" i="2" s="1"/>
  <c r="M14" i="2"/>
  <c r="N14" i="2"/>
  <c r="B14" i="2" s="1"/>
  <c r="C14" i="2" s="1"/>
  <c r="M16" i="2"/>
  <c r="N16" i="2"/>
  <c r="B16" i="2" s="1"/>
  <c r="C16" i="2" s="1"/>
  <c r="M10" i="2"/>
  <c r="N10" i="2"/>
  <c r="B10" i="2" s="1"/>
  <c r="C10" i="2" s="1"/>
  <c r="B22" i="2"/>
  <c r="C22" i="2" s="1"/>
  <c r="AD38" i="2"/>
  <c r="Z38" i="2"/>
  <c r="S36" i="2"/>
  <c r="B9" i="2"/>
  <c r="C9" i="2" s="1"/>
  <c r="N15" i="2"/>
  <c r="B15" i="2" s="1"/>
  <c r="C15" i="2" s="1"/>
  <c r="M15" i="2"/>
  <c r="M18" i="2"/>
  <c r="N18" i="2"/>
  <c r="B18" i="2" s="1"/>
  <c r="C18" i="2" s="1"/>
  <c r="M12" i="2"/>
  <c r="N12" i="2"/>
  <c r="AF20" i="2"/>
  <c r="A20" i="2" s="1"/>
  <c r="N13" i="2"/>
  <c r="B13" i="2" s="1"/>
  <c r="C13" i="2" s="1"/>
  <c r="M13" i="2"/>
  <c r="N17" i="2"/>
  <c r="B17" i="2" s="1"/>
  <c r="C17" i="2" s="1"/>
  <c r="M17" i="2"/>
  <c r="B26" i="2"/>
  <c r="C26" i="2" s="1"/>
  <c r="AF27" i="2"/>
  <c r="A27" i="2" s="1"/>
  <c r="AC38" i="2"/>
  <c r="AC36" i="2"/>
  <c r="B30" i="3" s="1"/>
  <c r="F30" i="3" s="1"/>
  <c r="T36" i="2"/>
  <c r="B33" i="3" s="1"/>
  <c r="F33" i="3" s="1"/>
  <c r="Y36" i="2"/>
  <c r="P36" i="2"/>
  <c r="S38" i="2"/>
  <c r="T38" i="2"/>
  <c r="AB38" i="2"/>
  <c r="Y38" i="2"/>
  <c r="R38" i="2"/>
  <c r="A51" i="2"/>
  <c r="AF51" i="2"/>
  <c r="AA36" i="2"/>
  <c r="N21" i="2"/>
  <c r="B21" i="2" s="1"/>
  <c r="C21" i="2" s="1"/>
  <c r="AE21" i="2"/>
  <c r="AF21" i="2" s="1"/>
  <c r="A21" i="2" s="1"/>
  <c r="N25" i="2"/>
  <c r="B25" i="2" s="1"/>
  <c r="C25" i="2" s="1"/>
  <c r="AE25" i="2"/>
  <c r="AF25" i="2" s="1"/>
  <c r="A25" i="2" s="1"/>
  <c r="M26" i="2"/>
  <c r="AE26" i="2"/>
  <c r="AF26" i="2" s="1"/>
  <c r="A26" i="2" s="1"/>
  <c r="N11" i="2"/>
  <c r="B11" i="2" s="1"/>
  <c r="N23" i="2"/>
  <c r="B23" i="2" s="1"/>
  <c r="C23" i="2" s="1"/>
  <c r="AE23" i="2"/>
  <c r="AF23" i="2" s="1"/>
  <c r="A23" i="2" s="1"/>
  <c r="R36" i="2"/>
  <c r="P38" i="2"/>
  <c r="C19" i="3"/>
  <c r="C7" i="3"/>
  <c r="AB36" i="2"/>
  <c r="AF44" i="2"/>
  <c r="A44" i="2"/>
  <c r="O38" i="2"/>
  <c r="A41" i="2"/>
  <c r="AF41" i="2"/>
  <c r="AF50" i="2"/>
  <c r="A50" i="2"/>
  <c r="N32" i="2"/>
  <c r="B32" i="2" s="1"/>
  <c r="C32" i="2" s="1"/>
  <c r="AE32" i="2"/>
  <c r="AF32" i="2" s="1"/>
  <c r="A32" i="2" s="1"/>
  <c r="N29" i="2"/>
  <c r="B29" i="2" s="1"/>
  <c r="C29" i="2" s="1"/>
  <c r="AE29" i="2"/>
  <c r="AF29" i="2" s="1"/>
  <c r="A29" i="2" s="1"/>
  <c r="I36" i="2"/>
  <c r="B27" i="3" s="1"/>
  <c r="F27" i="3" s="1"/>
  <c r="AA38" i="2"/>
  <c r="M22" i="2"/>
  <c r="AE22" i="2"/>
  <c r="AF22" i="2" s="1"/>
  <c r="A22" i="2" s="1"/>
  <c r="A43" i="2"/>
  <c r="AF43" i="2"/>
  <c r="N30" i="2"/>
  <c r="B30" i="2" s="1"/>
  <c r="C30" i="2" s="1"/>
  <c r="AE30" i="2"/>
  <c r="AF30" i="2" s="1"/>
  <c r="A30" i="2" s="1"/>
  <c r="N31" i="2"/>
  <c r="B31" i="2" s="1"/>
  <c r="C31" i="2" s="1"/>
  <c r="AE31" i="2"/>
  <c r="AF31" i="2" s="1"/>
  <c r="A31" i="2" s="1"/>
  <c r="N33" i="2"/>
  <c r="B33" i="2" s="1"/>
  <c r="C33" i="2" s="1"/>
  <c r="AE33" i="2"/>
  <c r="AF33" i="2" s="1"/>
  <c r="A33" i="2" s="1"/>
  <c r="V36" i="2"/>
  <c r="V38" i="2"/>
  <c r="A40" i="2"/>
  <c r="AF40" i="2"/>
  <c r="A49" i="2"/>
  <c r="AF49" i="2"/>
  <c r="AF48" i="2"/>
  <c r="A48" i="2"/>
  <c r="N19" i="2"/>
  <c r="B19" i="2" s="1"/>
  <c r="C19" i="2" s="1"/>
  <c r="AE19" i="2"/>
  <c r="AF19" i="2" s="1"/>
  <c r="A19" i="2" s="1"/>
  <c r="N34" i="2"/>
  <c r="B34" i="2" s="1"/>
  <c r="C34" i="2" s="1"/>
  <c r="AE34" i="2"/>
  <c r="AF34" i="2" s="1"/>
  <c r="A34" i="2" s="1"/>
  <c r="M24" i="2"/>
  <c r="AE24" i="2"/>
  <c r="AF24" i="2" s="1"/>
  <c r="A24" i="2" s="1"/>
  <c r="N35" i="2"/>
  <c r="B35" i="2" s="1"/>
  <c r="C35" i="2" s="1"/>
  <c r="AE35" i="2"/>
  <c r="AF35" i="2" s="1"/>
  <c r="A35" i="2" s="1"/>
  <c r="O52" i="2" l="1"/>
  <c r="F36" i="3" s="1"/>
  <c r="AE16" i="2"/>
  <c r="AF16" i="2" s="1"/>
  <c r="A16" i="2" s="1"/>
  <c r="AE17" i="2"/>
  <c r="AF17" i="2" s="1"/>
  <c r="A17" i="2" s="1"/>
  <c r="AE15" i="2"/>
  <c r="AF15" i="2" s="1"/>
  <c r="A15" i="2" s="1"/>
  <c r="AE13" i="2"/>
  <c r="AF13" i="2" s="1"/>
  <c r="A13" i="2" s="1"/>
  <c r="AE14" i="2"/>
  <c r="AF14" i="2" s="1"/>
  <c r="A14" i="2" s="1"/>
  <c r="B28" i="3"/>
  <c r="F28" i="3" s="1"/>
  <c r="A42" i="2"/>
  <c r="B34" i="3"/>
  <c r="F34" i="3" s="1"/>
  <c r="B12" i="2"/>
  <c r="C12" i="2" s="1"/>
  <c r="AE12" i="2"/>
  <c r="AF12" i="2" s="1"/>
  <c r="A12" i="2" s="1"/>
  <c r="AE11" i="2"/>
  <c r="AF11" i="2" s="1"/>
  <c r="A11" i="2" s="1"/>
  <c r="AE10" i="2"/>
  <c r="AF10" i="2" s="1"/>
  <c r="A10" i="2" s="1"/>
  <c r="B31" i="3"/>
  <c r="F31" i="3" s="1"/>
  <c r="B29" i="3"/>
  <c r="F29" i="3" s="1"/>
  <c r="B32" i="3"/>
  <c r="F32" i="3" s="1"/>
  <c r="M36" i="2"/>
  <c r="C11" i="2"/>
  <c r="B37" i="2" l="1"/>
  <c r="I37" i="2" s="1"/>
  <c r="M37" i="2" s="1"/>
  <c r="AF36" i="2"/>
  <c r="B35" i="3" l="1"/>
  <c r="F35" i="3" s="1"/>
  <c r="I38" i="2"/>
  <c r="M38" i="2" s="1"/>
  <c r="AF38" i="2" s="1"/>
  <c r="AF52" i="2" s="1"/>
  <c r="A53" i="2" s="1"/>
  <c r="B26" i="3" l="1"/>
  <c r="F26" i="3" s="1"/>
  <c r="F37" i="3" s="1"/>
  <c r="AB88" i="10" l="1"/>
  <c r="Z17" i="10" s="1"/>
  <c r="Z44" i="10" s="1"/>
</calcChain>
</file>

<file path=xl/sharedStrings.xml><?xml version="1.0" encoding="utf-8"?>
<sst xmlns="http://schemas.openxmlformats.org/spreadsheetml/2006/main" count="3382" uniqueCount="1412">
  <si>
    <t xml:space="preserve">Group/Unit, District and County: </t>
  </si>
  <si>
    <t>Entrants</t>
  </si>
  <si>
    <t>Date of birth</t>
  </si>
  <si>
    <t>Mark “F” if Female</t>
  </si>
  <si>
    <t>Connaught Team (‘SA’, ‘SB’, ‘JA’ , ‘JB’ etc.)</t>
  </si>
  <si>
    <r>
      <t xml:space="preserve">Mark “R”  if Range Officer </t>
    </r>
    <r>
      <rPr>
        <b/>
        <sz val="9"/>
        <color indexed="8"/>
        <rFont val="Times New Roman"/>
        <family val="1"/>
      </rPr>
      <t xml:space="preserve"> </t>
    </r>
  </si>
  <si>
    <t>Mark “X” if a Leader or RO not entering the Knockout</t>
  </si>
  <si>
    <t>Mark “N” if  a Leader or RO entering extra classes only.</t>
  </si>
  <si>
    <t>Extra Classes (See Rule 30 for limitations on how many may be entered)</t>
  </si>
  <si>
    <t>Own Airgun (Show if any airgun is to be shared)</t>
  </si>
  <si>
    <t>Rifles Supplied</t>
  </si>
  <si>
    <r>
      <t>6yd Rifle (Spring guns only)</t>
    </r>
    <r>
      <rPr>
        <sz val="10"/>
        <color indexed="8"/>
        <rFont val="Arial Narrow"/>
        <family val="2"/>
      </rPr>
      <t xml:space="preserve"> </t>
    </r>
  </si>
  <si>
    <t>Air Pistol</t>
  </si>
  <si>
    <t>Vintage Rifle (Spring guns  only)</t>
  </si>
  <si>
    <t>10 metre Rifle</t>
  </si>
  <si>
    <t>(both classes may be entered)</t>
  </si>
  <si>
    <t>Advanced Field Target</t>
  </si>
  <si>
    <t>Three - Position Air Rifle</t>
  </si>
  <si>
    <t>(Either Open or Sporter  class may be entered but not both)</t>
  </si>
  <si>
    <t>Full bore</t>
  </si>
  <si>
    <t>(One class only may be entered)</t>
  </si>
  <si>
    <t>Small-bore</t>
  </si>
  <si>
    <t>First Name</t>
  </si>
  <si>
    <t>Surname</t>
  </si>
  <si>
    <t>Open</t>
  </si>
  <si>
    <t>Sporter</t>
  </si>
  <si>
    <t>A</t>
  </si>
  <si>
    <t xml:space="preserve">A </t>
  </si>
  <si>
    <t xml:space="preserve">B  </t>
  </si>
  <si>
    <t>X</t>
  </si>
  <si>
    <t>B</t>
  </si>
  <si>
    <t>Team Name if applicable</t>
  </si>
  <si>
    <t xml:space="preserve"> Scout Association Member Number (Required for all entrants aged 18 &amp; over)</t>
  </si>
  <si>
    <t>Competitor Last Year? (Enter Y/N  or competitor number if known)</t>
  </si>
  <si>
    <t>f</t>
  </si>
  <si>
    <t>F</t>
  </si>
  <si>
    <t>Y</t>
  </si>
  <si>
    <t>N</t>
  </si>
  <si>
    <t>CompNo</t>
  </si>
  <si>
    <t>Sname</t>
  </si>
  <si>
    <t>Group</t>
  </si>
  <si>
    <t>Toby</t>
  </si>
  <si>
    <t>Elissa</t>
  </si>
  <si>
    <t>Johnson</t>
  </si>
  <si>
    <t>Stevenage ESU</t>
  </si>
  <si>
    <t>Charlie</t>
  </si>
  <si>
    <t>Alex</t>
  </si>
  <si>
    <t>Stephen</t>
  </si>
  <si>
    <t>George</t>
  </si>
  <si>
    <t>James</t>
  </si>
  <si>
    <t>Scott</t>
  </si>
  <si>
    <t>Annabelle</t>
  </si>
  <si>
    <t>Bullock</t>
  </si>
  <si>
    <t>Brown</t>
  </si>
  <si>
    <t>Joseph</t>
  </si>
  <si>
    <t>Sutton</t>
  </si>
  <si>
    <t>Matt</t>
  </si>
  <si>
    <t>Dave</t>
  </si>
  <si>
    <t>John</t>
  </si>
  <si>
    <t>Andrew</t>
  </si>
  <si>
    <t>Davies</t>
  </si>
  <si>
    <t>Jonathan</t>
  </si>
  <si>
    <t>Callum</t>
  </si>
  <si>
    <t>Aaron</t>
  </si>
  <si>
    <t>Richard</t>
  </si>
  <si>
    <t>Daniel</t>
  </si>
  <si>
    <t>Matthew</t>
  </si>
  <si>
    <t>Edward</t>
  </si>
  <si>
    <t>Lake</t>
  </si>
  <si>
    <t>David</t>
  </si>
  <si>
    <t>Smith</t>
  </si>
  <si>
    <t>Dan</t>
  </si>
  <si>
    <t>Ellis</t>
  </si>
  <si>
    <t>Nicholas</t>
  </si>
  <si>
    <t>Stevenson</t>
  </si>
  <si>
    <t>Luke</t>
  </si>
  <si>
    <t>Leslie</t>
  </si>
  <si>
    <t>Button</t>
  </si>
  <si>
    <t>Heath</t>
  </si>
  <si>
    <t>Robert</t>
  </si>
  <si>
    <t>Joshua</t>
  </si>
  <si>
    <t>Jones</t>
  </si>
  <si>
    <t>Kieran</t>
  </si>
  <si>
    <t>Calum</t>
  </si>
  <si>
    <t>Sam</t>
  </si>
  <si>
    <t>Max</t>
  </si>
  <si>
    <t>Katie</t>
  </si>
  <si>
    <t>Mark</t>
  </si>
  <si>
    <t>Herbert</t>
  </si>
  <si>
    <t>Joe</t>
  </si>
  <si>
    <t>Skilton</t>
  </si>
  <si>
    <t>Mandy</t>
  </si>
  <si>
    <t>Paul</t>
  </si>
  <si>
    <t>Josh</t>
  </si>
  <si>
    <t>Williams</t>
  </si>
  <si>
    <t>Michael</t>
  </si>
  <si>
    <t>Thomas</t>
  </si>
  <si>
    <t>Tyler</t>
  </si>
  <si>
    <t>Taylor</t>
  </si>
  <si>
    <t>Oliver</t>
  </si>
  <si>
    <t>Young</t>
  </si>
  <si>
    <t>Andy</t>
  </si>
  <si>
    <t>Amy</t>
  </si>
  <si>
    <t>Nathan</t>
  </si>
  <si>
    <t>Ben</t>
  </si>
  <si>
    <t>Haydon</t>
  </si>
  <si>
    <t>Harry</t>
  </si>
  <si>
    <t>Ian</t>
  </si>
  <si>
    <t>Marsden</t>
  </si>
  <si>
    <t>Royal Kingston District</t>
  </si>
  <si>
    <t>Peter</t>
  </si>
  <si>
    <t>Jean</t>
  </si>
  <si>
    <t>Jenkins</t>
  </si>
  <si>
    <t>Julian</t>
  </si>
  <si>
    <t>Barker</t>
  </si>
  <si>
    <t>Jamie</t>
  </si>
  <si>
    <t>Robinson</t>
  </si>
  <si>
    <t>Chris</t>
  </si>
  <si>
    <t>Mitchell</t>
  </si>
  <si>
    <t>William</t>
  </si>
  <si>
    <t>Craig</t>
  </si>
  <si>
    <t>Martin</t>
  </si>
  <si>
    <t>Henry</t>
  </si>
  <si>
    <t>Owen</t>
  </si>
  <si>
    <t>Mike</t>
  </si>
  <si>
    <t>Powis</t>
  </si>
  <si>
    <t>Charlotte</t>
  </si>
  <si>
    <t>Hampshire County</t>
  </si>
  <si>
    <t>Dohoo</t>
  </si>
  <si>
    <t>Tom</t>
  </si>
  <si>
    <t>Darren</t>
  </si>
  <si>
    <t>Colin</t>
  </si>
  <si>
    <t>Sophie</t>
  </si>
  <si>
    <t>Adam</t>
  </si>
  <si>
    <t>Howard</t>
  </si>
  <si>
    <t>Jack</t>
  </si>
  <si>
    <t>Shaw</t>
  </si>
  <si>
    <t>Fiennes ESU</t>
  </si>
  <si>
    <t>Brookes</t>
  </si>
  <si>
    <t>Sean</t>
  </si>
  <si>
    <t>Jessica</t>
  </si>
  <si>
    <t>Hill</t>
  </si>
  <si>
    <t>Hampton ESU</t>
  </si>
  <si>
    <t>Lily</t>
  </si>
  <si>
    <t>Prescott</t>
  </si>
  <si>
    <t>3rd Hampton Hill</t>
  </si>
  <si>
    <t>Carr</t>
  </si>
  <si>
    <t>Will</t>
  </si>
  <si>
    <t>Williamson</t>
  </si>
  <si>
    <t>Newman</t>
  </si>
  <si>
    <t>Fitchett</t>
  </si>
  <si>
    <t>Ryan</t>
  </si>
  <si>
    <t>Stuart</t>
  </si>
  <si>
    <t>Adams</t>
  </si>
  <si>
    <t>Hinckley District</t>
  </si>
  <si>
    <t>Philip</t>
  </si>
  <si>
    <t>Diprose</t>
  </si>
  <si>
    <t>1st Fetcham</t>
  </si>
  <si>
    <t>Christopher</t>
  </si>
  <si>
    <t>Rhys</t>
  </si>
  <si>
    <t>Megan</t>
  </si>
  <si>
    <t>Richardson</t>
  </si>
  <si>
    <t>Johnston</t>
  </si>
  <si>
    <t>Elizabeth</t>
  </si>
  <si>
    <t>O'Neill</t>
  </si>
  <si>
    <t>Emma</t>
  </si>
  <si>
    <t>Glynn</t>
  </si>
  <si>
    <t>Dallen</t>
  </si>
  <si>
    <t>Roy</t>
  </si>
  <si>
    <t>Wright</t>
  </si>
  <si>
    <t>Isaac</t>
  </si>
  <si>
    <t>1st Cove</t>
  </si>
  <si>
    <t>Jackson</t>
  </si>
  <si>
    <t>Ella</t>
  </si>
  <si>
    <t>Nick</t>
  </si>
  <si>
    <t>Hancox</t>
  </si>
  <si>
    <t>Benjamin</t>
  </si>
  <si>
    <t>Edwards</t>
  </si>
  <si>
    <t>Malcolm</t>
  </si>
  <si>
    <t>Jake</t>
  </si>
  <si>
    <t>Gregory</t>
  </si>
  <si>
    <t>Jon</t>
  </si>
  <si>
    <t>Watts</t>
  </si>
  <si>
    <t>1st Hook</t>
  </si>
  <si>
    <t>Eleanor</t>
  </si>
  <si>
    <t>Hibbert</t>
  </si>
  <si>
    <t>Matthews</t>
  </si>
  <si>
    <t>Steve</t>
  </si>
  <si>
    <t>Harrison</t>
  </si>
  <si>
    <t>Wharf</t>
  </si>
  <si>
    <t>Lewis</t>
  </si>
  <si>
    <t>Olivia</t>
  </si>
  <si>
    <t>Biddle</t>
  </si>
  <si>
    <t>Coleman</t>
  </si>
  <si>
    <t>Miranda</t>
  </si>
  <si>
    <t>Joel</t>
  </si>
  <si>
    <t>Dominic</t>
  </si>
  <si>
    <t>Alexander</t>
  </si>
  <si>
    <t>Derek</t>
  </si>
  <si>
    <t>Phil</t>
  </si>
  <si>
    <t>Hannah</t>
  </si>
  <si>
    <t>Liam</t>
  </si>
  <si>
    <t>Griffiths</t>
  </si>
  <si>
    <t>9th Bramshill (Yateley)</t>
  </si>
  <si>
    <t>Danny</t>
  </si>
  <si>
    <t>Kevin</t>
  </si>
  <si>
    <t>Barnes</t>
  </si>
  <si>
    <t>Simon</t>
  </si>
  <si>
    <t>Hains</t>
  </si>
  <si>
    <t>Sainsbury</t>
  </si>
  <si>
    <t>Louis</t>
  </si>
  <si>
    <t>Graham</t>
  </si>
  <si>
    <t>Anthony</t>
  </si>
  <si>
    <t>Simmons</t>
  </si>
  <si>
    <t>Hancock</t>
  </si>
  <si>
    <t>1st Headley</t>
  </si>
  <si>
    <t>Skirrow</t>
  </si>
  <si>
    <t>Hiller</t>
  </si>
  <si>
    <t>Bennett</t>
  </si>
  <si>
    <t>Ollie</t>
  </si>
  <si>
    <t>Bradley</t>
  </si>
  <si>
    <t>Monksummers</t>
  </si>
  <si>
    <t>Alan</t>
  </si>
  <si>
    <t>Hemmings</t>
  </si>
  <si>
    <t>Fox</t>
  </si>
  <si>
    <t>Earl</t>
  </si>
  <si>
    <t>Lucy</t>
  </si>
  <si>
    <t>Adrian</t>
  </si>
  <si>
    <t>Baines</t>
  </si>
  <si>
    <t>Sandle</t>
  </si>
  <si>
    <t>Baird</t>
  </si>
  <si>
    <t>Harvey</t>
  </si>
  <si>
    <t>Crabbe</t>
  </si>
  <si>
    <t>Quentin</t>
  </si>
  <si>
    <t>Lister</t>
  </si>
  <si>
    <t>Baughurst</t>
  </si>
  <si>
    <t>Wells</t>
  </si>
  <si>
    <t>Reece</t>
  </si>
  <si>
    <t>Gladiators ESU</t>
  </si>
  <si>
    <t>Morrison</t>
  </si>
  <si>
    <t>JA</t>
  </si>
  <si>
    <t>JB</t>
  </si>
  <si>
    <t>JC</t>
  </si>
  <si>
    <t>SA</t>
  </si>
  <si>
    <t>Y13Share</t>
  </si>
  <si>
    <t>Y14Share</t>
  </si>
  <si>
    <t>Y15Share</t>
  </si>
  <si>
    <t>Y16Share</t>
  </si>
  <si>
    <t>Y17Share</t>
  </si>
  <si>
    <t>Y18Share</t>
  </si>
  <si>
    <t>SB</t>
  </si>
  <si>
    <t>SC</t>
  </si>
  <si>
    <t>SD</t>
  </si>
  <si>
    <t>SE</t>
  </si>
  <si>
    <t>SF</t>
  </si>
  <si>
    <t>SG</t>
  </si>
  <si>
    <t>Y12Share</t>
  </si>
  <si>
    <t>Y11Share</t>
  </si>
  <si>
    <t>Y10Share</t>
  </si>
  <si>
    <t>Y9Share</t>
  </si>
  <si>
    <t>Y8Share</t>
  </si>
  <si>
    <t>Y7Share</t>
  </si>
  <si>
    <t>Y6Share</t>
  </si>
  <si>
    <t>Y5Share</t>
  </si>
  <si>
    <t>Y4Share</t>
  </si>
  <si>
    <t>Y3Share</t>
  </si>
  <si>
    <t>Y2Share</t>
  </si>
  <si>
    <t>Y1Share</t>
  </si>
  <si>
    <t>R</t>
  </si>
  <si>
    <t>L</t>
  </si>
  <si>
    <t>Age</t>
  </si>
  <si>
    <t>Error 2 (MembNo)</t>
  </si>
  <si>
    <t>Warning 1 - LastYr</t>
  </si>
  <si>
    <t>Extra events permitted</t>
  </si>
  <si>
    <t>Error 7 - Too young in FB</t>
  </si>
  <si>
    <t>Error 9 - Too young for SB</t>
  </si>
  <si>
    <t>Extra events entered</t>
  </si>
  <si>
    <t>Error 11 - Too many Extra Events</t>
  </si>
  <si>
    <t>Ordinary Main Event Entrants</t>
  </si>
  <si>
    <t>@</t>
  </si>
  <si>
    <t>=</t>
  </si>
  <si>
    <t>Errors and Warnings</t>
  </si>
  <si>
    <t>Qualifying Date:</t>
  </si>
  <si>
    <t>Group or ESU Name:</t>
  </si>
  <si>
    <r>
      <t>4. Scout District / 5. Scout County/Area</t>
    </r>
    <r>
      <rPr>
        <sz val="10"/>
        <color indexed="8"/>
        <rFont val="Arial Narrow"/>
        <family val="2"/>
      </rPr>
      <t xml:space="preserve"> </t>
    </r>
  </si>
  <si>
    <t>Scarf Colour(s)</t>
  </si>
  <si>
    <r>
      <t>e-mail address:</t>
    </r>
    <r>
      <rPr>
        <sz val="11"/>
        <color indexed="8"/>
        <rFont val="Arial Narrow"/>
        <family val="2"/>
      </rPr>
      <t xml:space="preserve"> </t>
    </r>
  </si>
  <si>
    <r>
      <t xml:space="preserve">Certificate: </t>
    </r>
    <r>
      <rPr>
        <sz val="10"/>
        <color indexed="8"/>
        <rFont val="Arial Narrow"/>
        <family val="2"/>
      </rPr>
      <t xml:space="preserve">I confirm that all the entrants named overleaf are Members of the Scout Association as defined in POR and of the above Group/Unit, District and County/Area, that I am satisfied as to the physical and mental capability of each entrant to undertake the activity safely (see competition Rule 2) and that written parental consent has been or will be obtained for each entrant aged less than 18 years. </t>
    </r>
  </si>
  <si>
    <t>Signed:</t>
  </si>
  <si>
    <t>Date:</t>
  </si>
  <si>
    <t>Name:</t>
  </si>
  <si>
    <t>Telephone No.</t>
  </si>
  <si>
    <t>Yes / No</t>
  </si>
  <si>
    <r>
      <t xml:space="preserve">Do you require your receipt sent immediately? </t>
    </r>
    <r>
      <rPr>
        <b/>
        <sz val="10"/>
        <color indexed="8"/>
        <rFont val="Arial Narrow"/>
        <family val="2"/>
      </rPr>
      <t>(requires s.a.e.)</t>
    </r>
  </si>
  <si>
    <t>Number</t>
  </si>
  <si>
    <t xml:space="preserve">District                                                                       </t>
  </si>
  <si>
    <t>County/Area:</t>
  </si>
  <si>
    <t xml:space="preserve">Postcode </t>
  </si>
  <si>
    <t xml:space="preserve">Our estimated time of arrival at Bisley will be: </t>
  </si>
  <si>
    <t xml:space="preserve"> (day)</t>
  </si>
  <si>
    <t>ENTRY FORM</t>
  </si>
  <si>
    <t>Instructions:</t>
  </si>
  <si>
    <t>Boxes in Green are for your data</t>
  </si>
  <si>
    <t>Boxes in blue are calculated for you</t>
  </si>
  <si>
    <t>Team Type:</t>
  </si>
  <si>
    <t>3. Scout Group with an Explorer Scout Unit attached specifically to it</t>
  </si>
  <si>
    <t>1. Scout Group / 2. Explorer Scout Unit not attached to a Group</t>
  </si>
  <si>
    <t>Error 12 - Too old for Junior Connaught Team</t>
  </si>
  <si>
    <t>mailto:Peter@scouts-shoot.org.uk</t>
  </si>
  <si>
    <t>SH</t>
  </si>
  <si>
    <t>Read any other warnings and check that your data is correct.</t>
  </si>
  <si>
    <t>Day</t>
  </si>
  <si>
    <t>Month</t>
  </si>
  <si>
    <t>Yr</t>
  </si>
  <si>
    <t>Daydiff</t>
  </si>
  <si>
    <t>Mondif</t>
  </si>
  <si>
    <t>Yrdiff</t>
  </si>
  <si>
    <t>AgeYrs</t>
  </si>
  <si>
    <t>10to13</t>
  </si>
  <si>
    <t>18to24</t>
  </si>
  <si>
    <t>25&amp;up</t>
  </si>
  <si>
    <t xml:space="preserve">Group/Unit: </t>
  </si>
  <si>
    <t xml:space="preserve">Team Type: </t>
  </si>
  <si>
    <t>-</t>
  </si>
  <si>
    <t>Class</t>
  </si>
  <si>
    <t>Shared Rifle?</t>
  </si>
  <si>
    <t>3-P Data without 3-P Entry</t>
  </si>
  <si>
    <t>Find over 25s in Connaught</t>
  </si>
  <si>
    <t>Team</t>
  </si>
  <si>
    <t>RO?</t>
  </si>
  <si>
    <t>Max allowed</t>
  </si>
  <si>
    <t>Non-Main?</t>
  </si>
  <si>
    <t xml:space="preserve">Team Composition (not counting ROs or Non-Mains):  </t>
  </si>
  <si>
    <t>18+</t>
  </si>
  <si>
    <t>Non-RO &amp; Non-Main</t>
  </si>
  <si>
    <t>13.5 to 14?</t>
  </si>
  <si>
    <t>14 to 17</t>
  </si>
  <si>
    <t>Team Errors:</t>
  </si>
  <si>
    <t>Number of over 18s</t>
  </si>
  <si>
    <t>Total size</t>
  </si>
  <si>
    <t>All team types</t>
  </si>
  <si>
    <t>Number of over 25s</t>
  </si>
  <si>
    <t>County Teams</t>
  </si>
  <si>
    <t>Type 1 Gp; no ESU</t>
  </si>
  <si>
    <t>Number of Young People</t>
  </si>
  <si>
    <t>Number of over 14s</t>
  </si>
  <si>
    <t>Type 2; ESU</t>
  </si>
  <si>
    <t>Number of over 13.5s</t>
  </si>
  <si>
    <t>Type 3; Gp + ESU</t>
  </si>
  <si>
    <t>Number of Under 14s</t>
  </si>
  <si>
    <t>Type 4; District</t>
  </si>
  <si>
    <t>Under 13.5s</t>
  </si>
  <si>
    <t>Type 5; County</t>
  </si>
  <si>
    <t>spare</t>
  </si>
  <si>
    <t>District</t>
  </si>
  <si>
    <t>County:</t>
  </si>
  <si>
    <t>TeamName</t>
  </si>
  <si>
    <t>TeamNo</t>
  </si>
  <si>
    <t>Group/ESU</t>
  </si>
  <si>
    <t>County</t>
  </si>
  <si>
    <t>ScarfColours</t>
  </si>
  <si>
    <t>EmContactPhone</t>
  </si>
  <si>
    <t>Approver-Name</t>
  </si>
  <si>
    <t>Approver-Phone</t>
  </si>
  <si>
    <t>Approver-Appt</t>
  </si>
  <si>
    <t>ETA(Time)</t>
  </si>
  <si>
    <t>ETA(Day)</t>
  </si>
  <si>
    <t>Team Type</t>
  </si>
  <si>
    <t>Postcode</t>
  </si>
  <si>
    <t xml:space="preserve">Name: </t>
  </si>
  <si>
    <t xml:space="preserve">Address: </t>
  </si>
  <si>
    <t xml:space="preserve">Telephone Number(s): </t>
  </si>
  <si>
    <t>Team Contact (Before the camp)</t>
  </si>
  <si>
    <t>TeamContactAddress</t>
  </si>
  <si>
    <t>Team Contact Name</t>
  </si>
  <si>
    <t>TeamContactPhone</t>
  </si>
  <si>
    <t>GroupID</t>
  </si>
  <si>
    <t>CompNo:</t>
  </si>
  <si>
    <t>FirstName</t>
  </si>
  <si>
    <t>ConTeam</t>
  </si>
  <si>
    <t>Female</t>
  </si>
  <si>
    <t>R (Range Oifficer)</t>
  </si>
  <si>
    <t>X (no knock)</t>
  </si>
  <si>
    <t>N (extra classes only)</t>
  </si>
  <si>
    <t>Date of Birth</t>
  </si>
  <si>
    <t>J/S?</t>
  </si>
  <si>
    <t>MAIN</t>
  </si>
  <si>
    <t>6yd Rifle Recoiling</t>
  </si>
  <si>
    <t>Own Pistol</t>
  </si>
  <si>
    <t>Vintage</t>
  </si>
  <si>
    <t>10Metre (OPEN)</t>
  </si>
  <si>
    <t>10Metre (SPORTER)</t>
  </si>
  <si>
    <t>Summer Biathlon</t>
  </si>
  <si>
    <t>Full A</t>
  </si>
  <si>
    <t>Full B</t>
  </si>
  <si>
    <t>Small A</t>
  </si>
  <si>
    <t>Small B</t>
  </si>
  <si>
    <t>Small X</t>
  </si>
  <si>
    <t xml:space="preserve">No shooting entered; use Group sheet for non-RO non-shooters. </t>
  </si>
  <si>
    <t>Scout</t>
  </si>
  <si>
    <t>Check for Team Composition Errors:</t>
  </si>
  <si>
    <t>Check for 3-P Team composition Errors:</t>
  </si>
  <si>
    <t xml:space="preserve">Error if: </t>
  </si>
  <si>
    <t>More than 3 occurrences of same team name</t>
  </si>
  <si>
    <t>No in Team</t>
  </si>
  <si>
    <t>Open?</t>
  </si>
  <si>
    <t>No. Open in same team</t>
  </si>
  <si>
    <t>max 3</t>
  </si>
  <si>
    <t>max 2</t>
  </si>
  <si>
    <t>More than 2 occurrences  of "Open" within same team name</t>
  </si>
  <si>
    <t>Error message</t>
  </si>
  <si>
    <t>New?</t>
  </si>
  <si>
    <t>&gt;2 Non-Sporter</t>
  </si>
  <si>
    <t>Team &gt;3</t>
  </si>
  <si>
    <t xml:space="preserve">6yd Rifle (Spring guns only) </t>
  </si>
  <si>
    <t>(One class only may be entered) Class</t>
  </si>
  <si>
    <t xml:space="preserve"> Number (Required for all entrants aged 18 &amp; over)</t>
  </si>
  <si>
    <t>Competed Last Year?</t>
  </si>
  <si>
    <t>(Enter Y/N  or competitor number if known)</t>
  </si>
  <si>
    <t>Association Member</t>
  </si>
  <si>
    <t>Leader or</t>
  </si>
  <si>
    <t>RO not entering</t>
  </si>
  <si>
    <t>the Knockout or any Main Event?</t>
  </si>
  <si>
    <t>Team of 3?</t>
  </si>
  <si>
    <t>Share 6yd Rifle?</t>
  </si>
  <si>
    <t>Share Own Pistol?</t>
  </si>
  <si>
    <t>Share Vintage Rifle?</t>
  </si>
  <si>
    <t>Share Sporter Rifle?</t>
  </si>
  <si>
    <t>Share Rifle for 3P?</t>
  </si>
  <si>
    <t>3P Team</t>
  </si>
  <si>
    <t>Check for Gun Sharing Errors</t>
  </si>
  <si>
    <t>6yd Rifle</t>
  </si>
  <si>
    <t>10m Open</t>
  </si>
  <si>
    <t>10m Sporter</t>
  </si>
  <si>
    <t>AFT</t>
  </si>
  <si>
    <t>3-P</t>
  </si>
  <si>
    <t>Gun</t>
  </si>
  <si>
    <t>6yd Own Rifle</t>
  </si>
  <si>
    <t>Vintage Rifle</t>
  </si>
  <si>
    <t>Adv. FT</t>
  </si>
  <si>
    <t>Errors</t>
  </si>
  <si>
    <t xml:space="preserve">Error messages: </t>
  </si>
  <si>
    <t>Too many people sharing?</t>
  </si>
  <si>
    <t>Count</t>
  </si>
  <si>
    <t>Gun used too may times (across several events)</t>
  </si>
  <si>
    <t>Message</t>
  </si>
  <si>
    <t>Identify Vintage Rifles used in other events</t>
  </si>
  <si>
    <t>Team Composition &amp; Rifle usage Warnings:</t>
  </si>
  <si>
    <t>Sole use?</t>
  </si>
  <si>
    <t>Non-Main event shooter in Connaught Team!</t>
  </si>
  <si>
    <t>latest d.o.b. for SB</t>
  </si>
  <si>
    <t>latest d.o.b. for FB</t>
  </si>
  <si>
    <t>age in days</t>
  </si>
  <si>
    <t>Remarks</t>
  </si>
  <si>
    <t xml:space="preserve">Squad for FB on Sunday! </t>
  </si>
  <si>
    <t xml:space="preserve">Squad for S-B on Sunday! </t>
  </si>
  <si>
    <t>Name Incomplete</t>
  </si>
  <si>
    <t>Entrant</t>
  </si>
  <si>
    <t>Check Pistols are not also identified as Rifles.</t>
  </si>
  <si>
    <t>Other Shooters not in Main Event</t>
  </si>
  <si>
    <t>Non-Shooting adults</t>
  </si>
  <si>
    <t>Individual fee (Shooters &amp; ROs)</t>
  </si>
  <si>
    <t>Event Fee</t>
  </si>
  <si>
    <t xml:space="preserve">Rename the file by putting your Group name in the file name instead of (---) and send to to Peter@scouts-shoot.org.uk </t>
  </si>
  <si>
    <t>Check the entries and costs shown on the "Cost Calc" sheet. Print this if you wish. It shows individual costs.</t>
  </si>
  <si>
    <r>
      <t xml:space="preserve">Fill in </t>
    </r>
    <r>
      <rPr>
        <b/>
        <sz val="12"/>
        <rFont val="Arial"/>
        <family val="2"/>
      </rPr>
      <t xml:space="preserve">all </t>
    </r>
    <r>
      <rPr>
        <sz val="12"/>
        <rFont val="Arial"/>
        <family val="2"/>
      </rPr>
      <t>the boxes in Green.</t>
    </r>
  </si>
  <si>
    <t>Ensure that you clear any "Major Errors" revealed by the data validation routines built into the sheet.</t>
  </si>
  <si>
    <t>Go to the "Group" sheet. Provided you have cleared all major errors, the calculated costs will be shown.</t>
  </si>
  <si>
    <t>Other Errors describing breaches of Rules:</t>
  </si>
  <si>
    <t>Other Warnings (not involving rule breaches of Rules):</t>
  </si>
  <si>
    <t>Daylight Event Count</t>
  </si>
  <si>
    <t>Allen</t>
  </si>
  <si>
    <t>Stevens</t>
  </si>
  <si>
    <t>Bowler</t>
  </si>
  <si>
    <t>Arnold</t>
  </si>
  <si>
    <t>Oscar</t>
  </si>
  <si>
    <t>Peterson</t>
  </si>
  <si>
    <t>Lee</t>
  </si>
  <si>
    <t>Kearsey</t>
  </si>
  <si>
    <t>Standbridge</t>
  </si>
  <si>
    <t>Denise</t>
  </si>
  <si>
    <t>Robbins</t>
  </si>
  <si>
    <t>Roberts</t>
  </si>
  <si>
    <t>Ross</t>
  </si>
  <si>
    <t>Meek</t>
  </si>
  <si>
    <t>Jay</t>
  </si>
  <si>
    <t>Sturgess</t>
  </si>
  <si>
    <t>Sharpshooters ESU</t>
  </si>
  <si>
    <t>Ray</t>
  </si>
  <si>
    <t>Morris</t>
  </si>
  <si>
    <t>Malin</t>
  </si>
  <si>
    <t>Christian</t>
  </si>
  <si>
    <t>Cousins</t>
  </si>
  <si>
    <t>Fergus</t>
  </si>
  <si>
    <t>Pagden</t>
  </si>
  <si>
    <t>Linden</t>
  </si>
  <si>
    <t>Boucher</t>
  </si>
  <si>
    <t>Bob</t>
  </si>
  <si>
    <t>5th Stevenage</t>
  </si>
  <si>
    <t>2nd Raunds</t>
  </si>
  <si>
    <t>Butler</t>
  </si>
  <si>
    <t>Launchbury</t>
  </si>
  <si>
    <t>Clare</t>
  </si>
  <si>
    <t>Bowers</t>
  </si>
  <si>
    <t>Lang</t>
  </si>
  <si>
    <t>Cheyette</t>
  </si>
  <si>
    <t>Newington</t>
  </si>
  <si>
    <t>Worthing District</t>
  </si>
  <si>
    <t>Widnall</t>
  </si>
  <si>
    <t>Rachel</t>
  </si>
  <si>
    <t>Thompson</t>
  </si>
  <si>
    <t>Clarke</t>
  </si>
  <si>
    <t>Hadley</t>
  </si>
  <si>
    <t>Ellie</t>
  </si>
  <si>
    <t>Folkard</t>
  </si>
  <si>
    <t>Popplewell</t>
  </si>
  <si>
    <t>Gambrill</t>
  </si>
  <si>
    <t>Kinder</t>
  </si>
  <si>
    <t>1st Shaftesbury</t>
  </si>
  <si>
    <t>Atkinson</t>
  </si>
  <si>
    <t>Moore</t>
  </si>
  <si>
    <t>Spare</t>
  </si>
  <si>
    <r>
      <t xml:space="preserve">Hampshire Scout Rifle Club is an Activity Club of Hampshire Scout County (Charity No 1015788), Home Office Approved Rifle Club No. </t>
    </r>
    <r>
      <rPr>
        <sz val="9"/>
        <color indexed="8"/>
        <rFont val="Arial"/>
        <family val="2"/>
      </rPr>
      <t xml:space="preserve">CFP11 1/7/4/1/2/1/2/3/209 </t>
    </r>
    <r>
      <rPr>
        <i/>
        <sz val="10"/>
        <color indexed="8"/>
        <rFont val="Arial Narrow"/>
        <family val="2"/>
      </rPr>
      <t>and NSRA Affiliated Club No. 5962</t>
    </r>
  </si>
  <si>
    <r>
      <rPr>
        <b/>
        <sz val="14"/>
        <rFont val="Arial"/>
        <family val="2"/>
      </rPr>
      <t>If is showing "Invalid", clear the errors.</t>
    </r>
    <r>
      <rPr>
        <b/>
        <sz val="14"/>
        <color indexed="10"/>
        <rFont val="Arial"/>
        <family val="2"/>
      </rPr>
      <t xml:space="preserve"> </t>
    </r>
    <r>
      <rPr>
        <sz val="12"/>
        <rFont val="Arial"/>
        <family val="2"/>
      </rPr>
      <t>These may be viewed and printed using the "Error Report" sheet.</t>
    </r>
  </si>
  <si>
    <t>latest d.o.b. for entry</t>
  </si>
  <si>
    <t>FName</t>
  </si>
  <si>
    <t>TSANo</t>
  </si>
  <si>
    <t>DOB</t>
  </si>
  <si>
    <t>Spare Group</t>
  </si>
  <si>
    <t>Ethan</t>
  </si>
  <si>
    <t>Huddart</t>
  </si>
  <si>
    <t>Michaela</t>
  </si>
  <si>
    <t>Calvin</t>
  </si>
  <si>
    <t>Blayney</t>
  </si>
  <si>
    <t>3rd Warwick</t>
  </si>
  <si>
    <t>Anya</t>
  </si>
  <si>
    <t>7th Warwick</t>
  </si>
  <si>
    <t>Peall</t>
  </si>
  <si>
    <t>Clark</t>
  </si>
  <si>
    <t>Annabel</t>
  </si>
  <si>
    <t>Peet</t>
  </si>
  <si>
    <t>Charles</t>
  </si>
  <si>
    <t>Guy</t>
  </si>
  <si>
    <t>Mickey</t>
  </si>
  <si>
    <t>Wherry</t>
  </si>
  <si>
    <t>Wend</t>
  </si>
  <si>
    <t>Bown</t>
  </si>
  <si>
    <t>Phoebe</t>
  </si>
  <si>
    <t>Gall</t>
  </si>
  <si>
    <t>Whiteman</t>
  </si>
  <si>
    <t>Liller</t>
  </si>
  <si>
    <t>Laura</t>
  </si>
  <si>
    <t>Morten</t>
  </si>
  <si>
    <t>Violetta</t>
  </si>
  <si>
    <t>Farquharson</t>
  </si>
  <si>
    <t>Angus</t>
  </si>
  <si>
    <t>Cooke</t>
  </si>
  <si>
    <t>Aiden</t>
  </si>
  <si>
    <t>Ball</t>
  </si>
  <si>
    <t>Porter</t>
  </si>
  <si>
    <t>Boreatton</t>
  </si>
  <si>
    <t>Isabelle</t>
  </si>
  <si>
    <t>Raine</t>
  </si>
  <si>
    <t>4th Worth</t>
  </si>
  <si>
    <t>Harley</t>
  </si>
  <si>
    <t>Murray</t>
  </si>
  <si>
    <t>Lodge</t>
  </si>
  <si>
    <t>Boxall</t>
  </si>
  <si>
    <t>Comber</t>
  </si>
  <si>
    <t>Dylan</t>
  </si>
  <si>
    <t>6th Whitstable</t>
  </si>
  <si>
    <t>Chappell</t>
  </si>
  <si>
    <t>Morgan</t>
  </si>
  <si>
    <t>Spriggs</t>
  </si>
  <si>
    <t>Piggott</t>
  </si>
  <si>
    <t>Warning 2  - Check Date of Birth</t>
  </si>
  <si>
    <t>Warning 3 - Check Member No</t>
  </si>
  <si>
    <t>Warning 4 - Check Gender</t>
  </si>
  <si>
    <t>Warning 5 - Young RO</t>
  </si>
  <si>
    <t>TSA Member No.</t>
  </si>
  <si>
    <t>Error 4 (RO too young)</t>
  </si>
  <si>
    <t>Error 5 - Event(s) dropped</t>
  </si>
  <si>
    <t>Error 6 - No entrant on this line</t>
  </si>
  <si>
    <t xml:space="preserve">Error 3 - Invalid Comp Number from last year (Did Not Shoot); </t>
  </si>
  <si>
    <t>Age as at Saturday of Comp</t>
  </si>
  <si>
    <t>Multiple Classes?</t>
  </si>
  <si>
    <t>Yes</t>
  </si>
  <si>
    <t>No</t>
  </si>
  <si>
    <t>Scout Member Number</t>
  </si>
  <si>
    <t>Name</t>
  </si>
  <si>
    <t>Add any non-competitors in the bottom right-hand part of the sheet</t>
  </si>
  <si>
    <t>Total Team Entry Fee</t>
  </si>
  <si>
    <t>checksum</t>
  </si>
  <si>
    <t>Are you enclosing any supplementary sheets or certificates, if so, how many sheets?</t>
  </si>
  <si>
    <t>Boxes in yellow are for you, your DC, GSL DESC etc to complete in manuscript on the copy you send in with your cheque.</t>
  </si>
  <si>
    <t xml:space="preserve">Emergency Contact Telephone Number: </t>
  </si>
  <si>
    <t xml:space="preserve">Emergency Contact Name: </t>
  </si>
  <si>
    <t xml:space="preserve">Emergency Contact Address: </t>
  </si>
  <si>
    <t xml:space="preserve">Home Contact (During the camp)                     </t>
  </si>
  <si>
    <t>Appointment: GSL / DC / ADC / DESC / other (specify):</t>
  </si>
  <si>
    <t>(time)                                                on:</t>
  </si>
  <si>
    <t>EmContact Address</t>
  </si>
  <si>
    <t>Emergency Contact</t>
  </si>
  <si>
    <t>Team Contact-Email</t>
  </si>
  <si>
    <t>Fname</t>
  </si>
  <si>
    <t>TSA_Num</t>
  </si>
  <si>
    <t>RO entrants</t>
  </si>
  <si>
    <t>Start on the sheet named "Entrants"</t>
  </si>
  <si>
    <t>Return to the "Entrants" sheet and print it. This is your record of the competitor data you entered.</t>
  </si>
  <si>
    <t>Limits in formulae below</t>
  </si>
  <si>
    <t>(Q_Date expressed in Days)</t>
  </si>
  <si>
    <t>To update from year to year:</t>
  </si>
  <si>
    <t>These fields are calculated from the table copied in.</t>
  </si>
  <si>
    <t>Warnings &amp; Remarks</t>
  </si>
  <si>
    <t>Competed last year</t>
  </si>
  <si>
    <t>1st Lyonsdown and ESU</t>
  </si>
  <si>
    <t>Greenley</t>
  </si>
  <si>
    <t>Lucas</t>
  </si>
  <si>
    <t>Rodrigues</t>
  </si>
  <si>
    <t>Mathew</t>
  </si>
  <si>
    <t>Chells -Voyager</t>
  </si>
  <si>
    <t>Rogers</t>
  </si>
  <si>
    <t>Elliott</t>
  </si>
  <si>
    <t>Killen</t>
  </si>
  <si>
    <t>Drake</t>
  </si>
  <si>
    <t>Freya</t>
  </si>
  <si>
    <t>Giles</t>
  </si>
  <si>
    <t>Woolley</t>
  </si>
  <si>
    <t>Dom</t>
  </si>
  <si>
    <t>Westgarth</t>
  </si>
  <si>
    <t>Theresa</t>
  </si>
  <si>
    <t>Page</t>
  </si>
  <si>
    <t>Jim</t>
  </si>
  <si>
    <t>7th Epsom and ESU</t>
  </si>
  <si>
    <t>Clemow</t>
  </si>
  <si>
    <t>Cannam</t>
  </si>
  <si>
    <t>Parteka</t>
  </si>
  <si>
    <t>Hendy</t>
  </si>
  <si>
    <t>Jensen</t>
  </si>
  <si>
    <t>Rocco</t>
  </si>
  <si>
    <t>Barrington</t>
  </si>
  <si>
    <t>Joyce</t>
  </si>
  <si>
    <t>Robin</t>
  </si>
  <si>
    <t>Connagh</t>
  </si>
  <si>
    <t>Jasmine</t>
  </si>
  <si>
    <t>Pegasus ESU</t>
  </si>
  <si>
    <t>Marsh</t>
  </si>
  <si>
    <t>4th Itchen South (Netley) Sea Scouts</t>
  </si>
  <si>
    <t>Poli</t>
  </si>
  <si>
    <t>Sinclair</t>
  </si>
  <si>
    <t>Clelland</t>
  </si>
  <si>
    <t>Jess</t>
  </si>
  <si>
    <t>Kortekaas</t>
  </si>
  <si>
    <t>White</t>
  </si>
  <si>
    <t>Meon Valley ESU</t>
  </si>
  <si>
    <t>Rebecca</t>
  </si>
  <si>
    <t>Green</t>
  </si>
  <si>
    <t>Caitlin</t>
  </si>
  <si>
    <t>1st Liphook and Stirling ESU</t>
  </si>
  <si>
    <t>Lott</t>
  </si>
  <si>
    <t>Hermione</t>
  </si>
  <si>
    <t>Crispin</t>
  </si>
  <si>
    <t>17th Lewisham North</t>
  </si>
  <si>
    <t>49th Greenwich</t>
  </si>
  <si>
    <t>Gorley</t>
  </si>
  <si>
    <t>Alice</t>
  </si>
  <si>
    <t>Elise</t>
  </si>
  <si>
    <t>1st Moreton and Fyfield</t>
  </si>
  <si>
    <t>Gallagher</t>
  </si>
  <si>
    <t>Tilly</t>
  </si>
  <si>
    <t>Mountney</t>
  </si>
  <si>
    <t>Archie</t>
  </si>
  <si>
    <t>Read</t>
  </si>
  <si>
    <t>8th West Wickham and ESU</t>
  </si>
  <si>
    <t>Mallett</t>
  </si>
  <si>
    <t>Pearce</t>
  </si>
  <si>
    <t>1st Compton</t>
  </si>
  <si>
    <t>Stent</t>
  </si>
  <si>
    <t>Conor</t>
  </si>
  <si>
    <t>Stanfield</t>
  </si>
  <si>
    <t>Line</t>
  </si>
  <si>
    <t>Fraser</t>
  </si>
  <si>
    <t>Find over 18s in Connaught</t>
  </si>
  <si>
    <t>Over 18s Connaught Error?</t>
  </si>
  <si>
    <t>Check Teams for over 18s</t>
  </si>
  <si>
    <t>Check Teams for over 25s</t>
  </si>
  <si>
    <t>and</t>
  </si>
  <si>
    <t>Range Staff</t>
  </si>
  <si>
    <t>&amp; Range Staff</t>
  </si>
  <si>
    <t>* List the name and Scout Association Member Number of</t>
  </si>
  <si>
    <t>Camp Only - Excludes ROs</t>
  </si>
  <si>
    <r>
      <rPr>
        <sz val="10"/>
        <color indexed="8"/>
        <rFont val="Arial Narrow"/>
        <family val="2"/>
      </rPr>
      <t>Team Name</t>
    </r>
    <r>
      <rPr>
        <sz val="9"/>
        <color indexed="8"/>
        <rFont val="Arial Narrow"/>
        <family val="2"/>
      </rPr>
      <t xml:space="preserve"> if applicable</t>
    </r>
  </si>
  <si>
    <t>Insert previous years list of actual competitors from Results database in LastYrList and adjust length as necessary (Note inclusion of 'Y' &amp; 'N' at start of list).</t>
  </si>
  <si>
    <t>Insert previous years list of actual competitors from Results database in dark purple area &amp; adjust length as necessary (Note inclusion of 'Y' &amp; 'N' at start of list).</t>
  </si>
  <si>
    <t>Haigh</t>
  </si>
  <si>
    <t>Lawrence</t>
  </si>
  <si>
    <t>Evans</t>
  </si>
  <si>
    <t>Misi</t>
  </si>
  <si>
    <t>Torley</t>
  </si>
  <si>
    <t>Lauren</t>
  </si>
  <si>
    <t>Manton</t>
  </si>
  <si>
    <t>South West Cheshire District</t>
  </si>
  <si>
    <t>Oakes</t>
  </si>
  <si>
    <t>Rolfe</t>
  </si>
  <si>
    <t>Baptiste</t>
  </si>
  <si>
    <t>Bull</t>
  </si>
  <si>
    <t>Jasper</t>
  </si>
  <si>
    <t>Hill-Bennett</t>
  </si>
  <si>
    <t>Miller</t>
  </si>
  <si>
    <t>26th Odiham (Fleet Sea Scouts)</t>
  </si>
  <si>
    <t>Jordan</t>
  </si>
  <si>
    <t>Burton</t>
  </si>
  <si>
    <t>Adshead</t>
  </si>
  <si>
    <t>Veall</t>
  </si>
  <si>
    <t>Emily</t>
  </si>
  <si>
    <t>North Dorset ESU</t>
  </si>
  <si>
    <t>Little</t>
  </si>
  <si>
    <t>Felix</t>
  </si>
  <si>
    <t>Chadwick-Histed</t>
  </si>
  <si>
    <t>Buckler</t>
  </si>
  <si>
    <t>Orton</t>
  </si>
  <si>
    <t>Ashlyn</t>
  </si>
  <si>
    <t>Charis</t>
  </si>
  <si>
    <t>Mackley</t>
  </si>
  <si>
    <t>Vincent</t>
  </si>
  <si>
    <t>38th South West Cheshire (Nantwich)</t>
  </si>
  <si>
    <t>Tony</t>
  </si>
  <si>
    <t>Ingrid</t>
  </si>
  <si>
    <t>Bethany</t>
  </si>
  <si>
    <t>2nd Ifield (St Margrets)</t>
  </si>
  <si>
    <t>Amber</t>
  </si>
  <si>
    <t>Berreen</t>
  </si>
  <si>
    <t>Ken</t>
  </si>
  <si>
    <t>Arron</t>
  </si>
  <si>
    <t>Carruthers</t>
  </si>
  <si>
    <t>Zac</t>
  </si>
  <si>
    <t>Haydn</t>
  </si>
  <si>
    <t>Dobson</t>
  </si>
  <si>
    <t>3rd Kingston</t>
  </si>
  <si>
    <t>Wallace</t>
  </si>
  <si>
    <t>Jolie</t>
  </si>
  <si>
    <t>Jeffreys</t>
  </si>
  <si>
    <t>1st Goring by Sea</t>
  </si>
  <si>
    <t>Strotten</t>
  </si>
  <si>
    <t>Gerald</t>
  </si>
  <si>
    <t>Brummerhof</t>
  </si>
  <si>
    <t>1st Worthing</t>
  </si>
  <si>
    <t>Harris</t>
  </si>
  <si>
    <t>Wilson</t>
  </si>
  <si>
    <t>Eadon</t>
  </si>
  <si>
    <t>Sokol</t>
  </si>
  <si>
    <t>Hawkins</t>
  </si>
  <si>
    <t>Ned</t>
  </si>
  <si>
    <t>Cullingford</t>
  </si>
  <si>
    <t>Buchanan</t>
  </si>
  <si>
    <t>Centurion ESU</t>
  </si>
  <si>
    <t>Alfie</t>
  </si>
  <si>
    <t>Trevor</t>
  </si>
  <si>
    <t>Draper</t>
  </si>
  <si>
    <t>Eastman</t>
  </si>
  <si>
    <t>Chambers</t>
  </si>
  <si>
    <t>Baker</t>
  </si>
  <si>
    <t>Back</t>
  </si>
  <si>
    <t>Jeremy</t>
  </si>
  <si>
    <t>Fubar ESU</t>
  </si>
  <si>
    <t>Cresswell</t>
  </si>
  <si>
    <t>Carl</t>
  </si>
  <si>
    <t>O'Farrell</t>
  </si>
  <si>
    <t>Isobel</t>
  </si>
  <si>
    <t>Slater</t>
  </si>
  <si>
    <t>Beattie</t>
  </si>
  <si>
    <t>Alana</t>
  </si>
  <si>
    <t>Isabel</t>
  </si>
  <si>
    <t>Atkins</t>
  </si>
  <si>
    <t>Batchelor</t>
  </si>
  <si>
    <t>Lovett</t>
  </si>
  <si>
    <t>Hollie</t>
  </si>
  <si>
    <t>Humphries</t>
  </si>
  <si>
    <t>Pamela</t>
  </si>
  <si>
    <t>Chalk</t>
  </si>
  <si>
    <t>Niah</t>
  </si>
  <si>
    <t>Ismahoon</t>
  </si>
  <si>
    <t>Jemma</t>
  </si>
  <si>
    <t>Findlay</t>
  </si>
  <si>
    <t>Postance-Eamer</t>
  </si>
  <si>
    <t>Jenna</t>
  </si>
  <si>
    <t>Cann</t>
  </si>
  <si>
    <t>Wilding</t>
  </si>
  <si>
    <t>Lukas</t>
  </si>
  <si>
    <t>10th Sutton Coldfield West</t>
  </si>
  <si>
    <t>Tunstall</t>
  </si>
  <si>
    <t>15th Sutton Coldfield West</t>
  </si>
  <si>
    <t>Parsonage</t>
  </si>
  <si>
    <t>21st Sutton Coldfield West</t>
  </si>
  <si>
    <t>Abigail</t>
  </si>
  <si>
    <t>Lummus</t>
  </si>
  <si>
    <t>Holmes</t>
  </si>
  <si>
    <t>Hughes</t>
  </si>
  <si>
    <t>Hardy</t>
  </si>
  <si>
    <t>Theobald</t>
  </si>
  <si>
    <t>Arrowhead ESU</t>
  </si>
  <si>
    <t>Blake</t>
  </si>
  <si>
    <r>
      <t xml:space="preserve">Check and print a copy for signature and posting with your cheque and any other required documents such as Guest day forms and photocopies of Range Officer certification to:
</t>
    </r>
    <r>
      <rPr>
        <b/>
        <sz val="12"/>
        <rFont val="Arial"/>
        <family val="2"/>
      </rPr>
      <t>Peter Waters, 43 Bramshott Drive, HOOK, Hampshire RG27 9EY.</t>
    </r>
  </si>
  <si>
    <t>Larkham</t>
  </si>
  <si>
    <t>INITIAL ENTRY FORM - TEAM MEMBER DETAILS</t>
  </si>
  <si>
    <t>Mark “H" if Honours Only in all classes</t>
  </si>
  <si>
    <t>H</t>
  </si>
  <si>
    <t>h</t>
  </si>
  <si>
    <t>ISSF Target Sprint</t>
  </si>
  <si>
    <r>
      <t xml:space="preserve">If you have additional would-be entrants whom you cannot accommodate within the limited team sizes for your initial entry, list them on the </t>
    </r>
    <r>
      <rPr>
        <b/>
        <sz val="12"/>
        <rFont val="Arial"/>
        <family val="2"/>
      </rPr>
      <t xml:space="preserve">Supplementary </t>
    </r>
    <r>
      <rPr>
        <sz val="12"/>
        <rFont val="Arial"/>
        <family val="2"/>
      </rPr>
      <t>sheet</t>
    </r>
    <r>
      <rPr>
        <b/>
        <sz val="12"/>
        <rFont val="Arial"/>
        <family val="2"/>
      </rPr>
      <t xml:space="preserve"> in descending order of priority for consideration</t>
    </r>
    <r>
      <rPr>
        <sz val="12"/>
        <rFont val="Arial"/>
        <family val="2"/>
      </rPr>
      <t>. Print this sheet if you wish. It will show the entry fee that would be payable for each person if they are offered a place for all the classes shown.
Those costs will NOT be included within the calculated totals for the Group. Supplementary entries will be considered after the closing date when all initial entries received up to that point have been processed. You will then be contacted with details of places offered and invited to confirm them by sending the appropriate entry fee.</t>
    </r>
  </si>
  <si>
    <t>SUPPLEMENTARY ENTRY FORM - BID FOR ADDITIONAL PLACES</t>
  </si>
  <si>
    <t>Include all range Officers on "Entrants" sheet</t>
  </si>
  <si>
    <t xml:space="preserve">District: </t>
  </si>
  <si>
    <t>Q_Date in cell $AH$5 from Entrants sheet</t>
  </si>
  <si>
    <t>Member Number</t>
  </si>
  <si>
    <t>Last Year?</t>
  </si>
  <si>
    <t>Connaught Team</t>
  </si>
  <si>
    <t xml:space="preserve">Range Officer  </t>
  </si>
  <si>
    <t>HO?</t>
  </si>
  <si>
    <t xml:space="preserve">Vintage </t>
  </si>
  <si>
    <t>No Knockout or no Main?</t>
  </si>
  <si>
    <t>Connaught Team &amp; Own Gun usage Warnings:</t>
  </si>
  <si>
    <t>3P Open</t>
  </si>
  <si>
    <t>3P Sporter</t>
  </si>
  <si>
    <t>3P Team Name if applicable</t>
  </si>
  <si>
    <t>Small-bore B</t>
  </si>
  <si>
    <t>Individual Entry Fee</t>
  </si>
  <si>
    <t xml:space="preserve">Sheet </t>
  </si>
  <si>
    <t>of</t>
  </si>
  <si>
    <t>sheets</t>
  </si>
  <si>
    <t>For computer entry only; type in light green spaces.</t>
  </si>
  <si>
    <t>Share Rifle for Target Sprint?</t>
  </si>
  <si>
    <t>3-Position (SPORTER)</t>
  </si>
  <si>
    <t>3-Position (OPEN)</t>
  </si>
  <si>
    <t>Share AFT Rifle?</t>
  </si>
  <si>
    <t>Share 10m Rifle for OPEN?</t>
  </si>
  <si>
    <t>Supplementary Entry Bids:</t>
  </si>
  <si>
    <t>Honours Only?</t>
  </si>
  <si>
    <t xml:space="preserve">List additional applications in Descending order of Preference (most preferred first).                                                                       </t>
  </si>
  <si>
    <t>Initial Entry</t>
  </si>
  <si>
    <t>Initial Entry cont'd.</t>
  </si>
  <si>
    <t>Supplementary Entry Bids cont'd.</t>
  </si>
  <si>
    <r>
      <t xml:space="preserve">  each non-shooting adult (</t>
    </r>
    <r>
      <rPr>
        <b/>
        <u/>
        <sz val="9"/>
        <color indexed="8"/>
        <rFont val="Arial Narrow"/>
        <family val="2"/>
      </rPr>
      <t>ex</t>
    </r>
    <r>
      <rPr>
        <sz val="9"/>
        <color indexed="8"/>
        <rFont val="Arial Narrow"/>
        <family val="2"/>
      </rPr>
      <t>cluding qualified Range Staff)
  below for a DBA records check and to provide the</t>
    </r>
  </si>
  <si>
    <t xml:space="preserve">  information for a roll call in the event of emergency.</t>
  </si>
  <si>
    <t>Target Sprint Class A</t>
  </si>
  <si>
    <t>Target Sprint Class B</t>
  </si>
  <si>
    <t>Change Q_Date in cell $AG$5</t>
  </si>
  <si>
    <t>Perrett</t>
  </si>
  <si>
    <t>Orla</t>
  </si>
  <si>
    <t>Deans</t>
  </si>
  <si>
    <t>Sampson</t>
  </si>
  <si>
    <t>Thornton</t>
  </si>
  <si>
    <t>Imogen</t>
  </si>
  <si>
    <t>Pegge</t>
  </si>
  <si>
    <t>4th Ewell</t>
  </si>
  <si>
    <t>Goodman</t>
  </si>
  <si>
    <t>Kira</t>
  </si>
  <si>
    <t>Ibison-Steele</t>
  </si>
  <si>
    <t>Hayden</t>
  </si>
  <si>
    <t>Street</t>
  </si>
  <si>
    <t>Gifford</t>
  </si>
  <si>
    <t>Jasmin</t>
  </si>
  <si>
    <t>French</t>
  </si>
  <si>
    <t>Bernard</t>
  </si>
  <si>
    <t>Justin</t>
  </si>
  <si>
    <t>Bickers</t>
  </si>
  <si>
    <t>Rolt</t>
  </si>
  <si>
    <t>Munroe-Martin</t>
  </si>
  <si>
    <t>Peer</t>
  </si>
  <si>
    <t>Murdoch</t>
  </si>
  <si>
    <t>Webb</t>
  </si>
  <si>
    <t>Holloway</t>
  </si>
  <si>
    <t>Jacob</t>
  </si>
  <si>
    <t>Mckay</t>
  </si>
  <si>
    <t>1st Chulmleigh</t>
  </si>
  <si>
    <t>Pincombe</t>
  </si>
  <si>
    <t>Pinkett</t>
  </si>
  <si>
    <t>Jonathon</t>
  </si>
  <si>
    <t>Ashley</t>
  </si>
  <si>
    <t>Grace</t>
  </si>
  <si>
    <t>Iredale</t>
  </si>
  <si>
    <t>Iestyn</t>
  </si>
  <si>
    <t>Horsler</t>
  </si>
  <si>
    <t>Gandy</t>
  </si>
  <si>
    <t>Bassford</t>
  </si>
  <si>
    <t>Phoenix ESU</t>
  </si>
  <si>
    <t>Goldsmith</t>
  </si>
  <si>
    <t>Watkinson</t>
  </si>
  <si>
    <t>Suzy</t>
  </si>
  <si>
    <t>Shuttleworth</t>
  </si>
  <si>
    <t>1st Old Malden &amp; Titan ESU</t>
  </si>
  <si>
    <t>Voyager ESU</t>
  </si>
  <si>
    <t>J Peter</t>
  </si>
  <si>
    <t>Bravery</t>
  </si>
  <si>
    <t>Frankie</t>
  </si>
  <si>
    <t>Culshaw</t>
  </si>
  <si>
    <t>1st Knaphill</t>
  </si>
  <si>
    <t>Thorne</t>
  </si>
  <si>
    <t>Danni</t>
  </si>
  <si>
    <t>Matson</t>
  </si>
  <si>
    <t>Silver Stags ESU</t>
  </si>
  <si>
    <t>Butterworth</t>
  </si>
  <si>
    <t>Els</t>
  </si>
  <si>
    <t>Katherine</t>
  </si>
  <si>
    <t>Maskell</t>
  </si>
  <si>
    <t>Hook ESU</t>
  </si>
  <si>
    <t>Celia</t>
  </si>
  <si>
    <t>Riddiough</t>
  </si>
  <si>
    <t>2/9th Ruislip</t>
  </si>
  <si>
    <t>Dandeker-Bourne</t>
  </si>
  <si>
    <t>2nd Durrington</t>
  </si>
  <si>
    <t>Dion</t>
  </si>
  <si>
    <t>Pragnell</t>
  </si>
  <si>
    <t>Pilot</t>
  </si>
  <si>
    <t>Jeff</t>
  </si>
  <si>
    <t>Billington</t>
  </si>
  <si>
    <t>Aisha</t>
  </si>
  <si>
    <t>Kimber</t>
  </si>
  <si>
    <t>Barnaby</t>
  </si>
  <si>
    <t>Stephens</t>
  </si>
  <si>
    <t>David (Jnr)</t>
  </si>
  <si>
    <t>Pool</t>
  </si>
  <si>
    <t>Katrina</t>
  </si>
  <si>
    <t>West Sussex</t>
  </si>
  <si>
    <t>Mccann</t>
  </si>
  <si>
    <t>Winter</t>
  </si>
  <si>
    <t>Chapman</t>
  </si>
  <si>
    <t>Brand</t>
  </si>
  <si>
    <t>Oldroyd</t>
  </si>
  <si>
    <t>Steven</t>
  </si>
  <si>
    <t>Adriana</t>
  </si>
  <si>
    <t>Jimmy</t>
  </si>
  <si>
    <t>Price</t>
  </si>
  <si>
    <t>Sofia</t>
  </si>
  <si>
    <t>Riglia</t>
  </si>
  <si>
    <t>Parr</t>
  </si>
  <si>
    <t>Tamzin</t>
  </si>
  <si>
    <t>Chloë</t>
  </si>
  <si>
    <t>Pitt</t>
  </si>
  <si>
    <t>Bereen</t>
  </si>
  <si>
    <t>Ingham-Smith</t>
  </si>
  <si>
    <t>Lane</t>
  </si>
  <si>
    <t>Hodges</t>
  </si>
  <si>
    <t>Gayler</t>
  </si>
  <si>
    <t>Hoult</t>
  </si>
  <si>
    <t>Cerys</t>
  </si>
  <si>
    <t>Sapsed</t>
  </si>
  <si>
    <t>Hugh</t>
  </si>
  <si>
    <t>Lea</t>
  </si>
  <si>
    <t>1st Alsager and ESU</t>
  </si>
  <si>
    <t>Sides</t>
  </si>
  <si>
    <t>Edwards Rean</t>
  </si>
  <si>
    <t>Cameron</t>
  </si>
  <si>
    <t>Amazon ESU</t>
  </si>
  <si>
    <t>Birtwistle</t>
  </si>
  <si>
    <t>1st South West Cheshire (St. Andrews)</t>
  </si>
  <si>
    <t>Ollier</t>
  </si>
  <si>
    <t>Emeny</t>
  </si>
  <si>
    <t>15th South West Cheshire</t>
  </si>
  <si>
    <t>35th South West Cheshire (Wistaston)</t>
  </si>
  <si>
    <t>Lyall-Brookes</t>
  </si>
  <si>
    <t>Armstrong Mortlock</t>
  </si>
  <si>
    <t>1st Holmes Chapel</t>
  </si>
  <si>
    <t>Glendining</t>
  </si>
  <si>
    <t>Stalbridge</t>
  </si>
  <si>
    <t>Peach-Bown</t>
  </si>
  <si>
    <t>Peek</t>
  </si>
  <si>
    <t>Baldry</t>
  </si>
  <si>
    <t>Rikki</t>
  </si>
  <si>
    <t>Furlonger</t>
  </si>
  <si>
    <t>Blakeley</t>
  </si>
  <si>
    <t>1st Sutton Coldfield West</t>
  </si>
  <si>
    <t>Keane</t>
  </si>
  <si>
    <t>Barton</t>
  </si>
  <si>
    <t>Gareth</t>
  </si>
  <si>
    <t>Reanne</t>
  </si>
  <si>
    <t>Witheridge</t>
  </si>
  <si>
    <t>18th Sutton Coldfield West</t>
  </si>
  <si>
    <t>Teeling</t>
  </si>
  <si>
    <t>Frew</t>
  </si>
  <si>
    <t>Huxley</t>
  </si>
  <si>
    <t>Exocet ESU</t>
  </si>
  <si>
    <t>Indomitable ESU</t>
  </si>
  <si>
    <t>Quest ESU</t>
  </si>
  <si>
    <t>Kaydin</t>
  </si>
  <si>
    <t>Elena</t>
  </si>
  <si>
    <t>Keating</t>
  </si>
  <si>
    <t>Upson</t>
  </si>
  <si>
    <t>Quinlan</t>
  </si>
  <si>
    <t>Furlong</t>
  </si>
  <si>
    <t>Keens</t>
  </si>
  <si>
    <t>Bryony</t>
  </si>
  <si>
    <t>Mountain</t>
  </si>
  <si>
    <t>9th Walton on Thames (Viscount)</t>
  </si>
  <si>
    <t>Arthur</t>
  </si>
  <si>
    <t>Clack</t>
  </si>
  <si>
    <t>Kerr</t>
  </si>
  <si>
    <t>Vesey</t>
  </si>
  <si>
    <t>Prior</t>
  </si>
  <si>
    <t>Loddon ESU</t>
  </si>
  <si>
    <t>Elenor</t>
  </si>
  <si>
    <t>Polkerris</t>
  </si>
  <si>
    <t>Fowler</t>
  </si>
  <si>
    <t>1st Llanharan</t>
  </si>
  <si>
    <t>Harding</t>
  </si>
  <si>
    <t>1st Chippenham</t>
  </si>
  <si>
    <t xml:space="preserve">Closing date: Signed Entries with payment must be postmarked on or by Saturday 9th July 2016                 </t>
  </si>
  <si>
    <t>Target Sprint 'A'</t>
  </si>
  <si>
    <t>Target Sprint 'B'</t>
  </si>
  <si>
    <t>Over 25s Connaught Error?</t>
  </si>
  <si>
    <t>Class A</t>
  </si>
  <si>
    <t>Class B</t>
  </si>
  <si>
    <t>ISSF Target Sprint A</t>
  </si>
  <si>
    <t>ISSF Target Sprint B</t>
  </si>
  <si>
    <t>Small-bore A/X</t>
  </si>
  <si>
    <t>Fullbore A/B</t>
  </si>
  <si>
    <t>Total Supplementary Fee:</t>
  </si>
  <si>
    <t>Cheque payable to “Hampshire County Scout Council”.   Total:</t>
  </si>
  <si>
    <t xml:space="preserve">FORTY-FIRST NATIONAL SCOUT RIFLE CHAMPIONSHIPS </t>
  </si>
  <si>
    <t>BISLEY, 20th  – 22nd October 2017</t>
  </si>
  <si>
    <t>Click Home &gt; Format.</t>
  </si>
  <si>
    <t>Under Visibility, click Hide &amp; Unhide, and then click Unhide Sheet.</t>
  </si>
  <si>
    <t xml:space="preserve">In the Unhide box, double-click the name of the hidden sheet that you want to display. </t>
  </si>
  <si>
    <t>To Display a hidden worksheet</t>
  </si>
  <si>
    <t>DNS in 2016</t>
  </si>
  <si>
    <t>!</t>
  </si>
  <si>
    <t>Hanna</t>
  </si>
  <si>
    <t>Belshaw</t>
  </si>
  <si>
    <t>Catherine</t>
  </si>
  <si>
    <t>Carborn</t>
  </si>
  <si>
    <t>Shrewring</t>
  </si>
  <si>
    <t>Jacquie</t>
  </si>
  <si>
    <t>Meechan</t>
  </si>
  <si>
    <t>Jude</t>
  </si>
  <si>
    <t>Kornfeld</t>
  </si>
  <si>
    <t>Tadley</t>
  </si>
  <si>
    <t>Heales</t>
  </si>
  <si>
    <t>Kit</t>
  </si>
  <si>
    <t>St John-Smith</t>
  </si>
  <si>
    <t>Tasso</t>
  </si>
  <si>
    <t>11th Hinckley &amp; ESU</t>
  </si>
  <si>
    <t>Ellen</t>
  </si>
  <si>
    <t>Arabella</t>
  </si>
  <si>
    <t>Rawisinski</t>
  </si>
  <si>
    <t>Shipley</t>
  </si>
  <si>
    <t>Victoria</t>
  </si>
  <si>
    <t>Semak</t>
  </si>
  <si>
    <t>1st Sapcote</t>
  </si>
  <si>
    <t>1st Stoney Stanton &amp; ESU</t>
  </si>
  <si>
    <t>1st Britannia</t>
  </si>
  <si>
    <t>Chieftain Explorers</t>
  </si>
  <si>
    <t>Huw</t>
  </si>
  <si>
    <t>CATVOG Area</t>
  </si>
  <si>
    <t>Anning - Phillips</t>
  </si>
  <si>
    <t>Carpenter</t>
  </si>
  <si>
    <t>Donna</t>
  </si>
  <si>
    <t>Richie</t>
  </si>
  <si>
    <t>Phillips</t>
  </si>
  <si>
    <t>Celinski</t>
  </si>
  <si>
    <t>5th New Forest East and ESU</t>
  </si>
  <si>
    <t>Connor</t>
  </si>
  <si>
    <t>Hansford</t>
  </si>
  <si>
    <t>Kelly</t>
  </si>
  <si>
    <t>Moles</t>
  </si>
  <si>
    <t>Passfield</t>
  </si>
  <si>
    <t>Moody</t>
  </si>
  <si>
    <t>3rd Epsom</t>
  </si>
  <si>
    <t>Laurie</t>
  </si>
  <si>
    <t>Hendry</t>
  </si>
  <si>
    <t>2nd Ewell and ESU</t>
  </si>
  <si>
    <t>Ashdown</t>
  </si>
  <si>
    <t>1st Ashtead</t>
  </si>
  <si>
    <t>Brighton and Hove Scout Network</t>
  </si>
  <si>
    <t>Kenward</t>
  </si>
  <si>
    <t>Gabriella</t>
  </si>
  <si>
    <t>Shew</t>
  </si>
  <si>
    <t>Carter</t>
  </si>
  <si>
    <t>Tubb</t>
  </si>
  <si>
    <t>Sarah</t>
  </si>
  <si>
    <t>Wates</t>
  </si>
  <si>
    <t>12th Lewisham South</t>
  </si>
  <si>
    <t>Dixon</t>
  </si>
  <si>
    <t>Hall</t>
  </si>
  <si>
    <t>Violet</t>
  </si>
  <si>
    <t>Peto</t>
  </si>
  <si>
    <t>Bailey</t>
  </si>
  <si>
    <t>Aylmer</t>
  </si>
  <si>
    <t>3rd Broadwater</t>
  </si>
  <si>
    <t>Butcher</t>
  </si>
  <si>
    <t>Anneliese</t>
  </si>
  <si>
    <t>Lucie</t>
  </si>
  <si>
    <t>Langridge</t>
  </si>
  <si>
    <t>Quin</t>
  </si>
  <si>
    <t>Mathilda</t>
  </si>
  <si>
    <t>Vian</t>
  </si>
  <si>
    <t>Stott</t>
  </si>
  <si>
    <t>Cane</t>
  </si>
  <si>
    <t>Mimi</t>
  </si>
  <si>
    <t>Weller</t>
  </si>
  <si>
    <t>Leah</t>
  </si>
  <si>
    <t>Svedin</t>
  </si>
  <si>
    <t>Kerwin</t>
  </si>
  <si>
    <t>Ramsay-Andrews</t>
  </si>
  <si>
    <t>1st Frimley Green &amp; Mytchett</t>
  </si>
  <si>
    <t>Zero Point ESU</t>
  </si>
  <si>
    <t>Reynolds</t>
  </si>
  <si>
    <t>Kirsty</t>
  </si>
  <si>
    <t>Snell</t>
  </si>
  <si>
    <t>1st Aylsham and Spartan ESU</t>
  </si>
  <si>
    <t>Gabriel</t>
  </si>
  <si>
    <t>Franklin</t>
  </si>
  <si>
    <t>Central Warwick ESU</t>
  </si>
  <si>
    <t>Highfield</t>
  </si>
  <si>
    <t>Hoyland</t>
  </si>
  <si>
    <t>Reuben</t>
  </si>
  <si>
    <t>2nd Ammanford and Wild Boars ESU</t>
  </si>
  <si>
    <t>Tara</t>
  </si>
  <si>
    <t>Gardener</t>
  </si>
  <si>
    <t>Samuel</t>
  </si>
  <si>
    <t>Nelson Rural ESU</t>
  </si>
  <si>
    <t>Cherise</t>
  </si>
  <si>
    <t>McMahon</t>
  </si>
  <si>
    <t>Rumbles</t>
  </si>
  <si>
    <t>Stilgoe</t>
  </si>
  <si>
    <t>Maddy</t>
  </si>
  <si>
    <t>1st Ashington</t>
  </si>
  <si>
    <t>Lelliott</t>
  </si>
  <si>
    <t>Hipkin</t>
  </si>
  <si>
    <t>Aston</t>
  </si>
  <si>
    <t>Upton</t>
  </si>
  <si>
    <t>Hardwick</t>
  </si>
  <si>
    <t>Luff</t>
  </si>
  <si>
    <t>Laurence</t>
  </si>
  <si>
    <t>Seth</t>
  </si>
  <si>
    <t>Chumley</t>
  </si>
  <si>
    <t>Carey</t>
  </si>
  <si>
    <t>Longridge</t>
  </si>
  <si>
    <t>1st Southgate</t>
  </si>
  <si>
    <t>Crawley District</t>
  </si>
  <si>
    <t>Hozaifen</t>
  </si>
  <si>
    <t>Dieniol</t>
  </si>
  <si>
    <t>Eve</t>
  </si>
  <si>
    <t>3rd Itchen North &amp; Shackleton ESU</t>
  </si>
  <si>
    <t>Hurst</t>
  </si>
  <si>
    <t>Furniss</t>
  </si>
  <si>
    <t>Kush</t>
  </si>
  <si>
    <t>Nadkarni</t>
  </si>
  <si>
    <t>Mikey</t>
  </si>
  <si>
    <t>Rowe-Smythe</t>
  </si>
  <si>
    <t>Denton</t>
  </si>
  <si>
    <t>Govender</t>
  </si>
  <si>
    <t>Greig</t>
  </si>
  <si>
    <t>Leilani</t>
  </si>
  <si>
    <t>Rampton</t>
  </si>
  <si>
    <t>Suzanne</t>
  </si>
  <si>
    <t>Eastwood</t>
  </si>
  <si>
    <t>Stevenage Network</t>
  </si>
  <si>
    <t>Finn</t>
  </si>
  <si>
    <t>Clipperton</t>
  </si>
  <si>
    <t>Stevie</t>
  </si>
  <si>
    <t>Dowling</t>
  </si>
  <si>
    <t>Hull</t>
  </si>
  <si>
    <t>Muller</t>
  </si>
  <si>
    <t>Kya</t>
  </si>
  <si>
    <t>Pinch</t>
  </si>
  <si>
    <t>Darcey</t>
  </si>
  <si>
    <t>Gloding</t>
  </si>
  <si>
    <t>Geeson</t>
  </si>
  <si>
    <t>Inglis</t>
  </si>
  <si>
    <t>Rosser</t>
  </si>
  <si>
    <t>Stone</t>
  </si>
  <si>
    <t>Wong</t>
  </si>
  <si>
    <t>Van der Schee</t>
  </si>
  <si>
    <t>Thomas-Evans</t>
  </si>
  <si>
    <t>2nd/4th Barry</t>
  </si>
  <si>
    <t>Dungey</t>
  </si>
  <si>
    <t>Kelvin</t>
  </si>
  <si>
    <t>Borge</t>
  </si>
  <si>
    <t>Louie</t>
  </si>
  <si>
    <t>Dudley</t>
  </si>
  <si>
    <t>Farrel</t>
  </si>
  <si>
    <t>Llio</t>
  </si>
  <si>
    <t>Kingsley</t>
  </si>
  <si>
    <t>Nowell</t>
  </si>
  <si>
    <t>Richmond</t>
  </si>
  <si>
    <t>Catrin</t>
  </si>
  <si>
    <t>Stillman</t>
  </si>
  <si>
    <t>Tobias</t>
  </si>
  <si>
    <t>Leander (Sea Scouts) ESU</t>
  </si>
  <si>
    <t>Niamh</t>
  </si>
  <si>
    <t>Baxter</t>
  </si>
  <si>
    <t>Ted</t>
  </si>
  <si>
    <t>Mottram</t>
  </si>
  <si>
    <t>9th South West Cheshire (Wrenbury)</t>
  </si>
  <si>
    <t>Booth</t>
  </si>
  <si>
    <t>17th South West Cheshire</t>
  </si>
  <si>
    <t>Slinn</t>
  </si>
  <si>
    <t>Hulme Davies</t>
  </si>
  <si>
    <t>Bickerton</t>
  </si>
  <si>
    <t>Grattan</t>
  </si>
  <si>
    <t>Nathaniel</t>
  </si>
  <si>
    <t>Mallon</t>
  </si>
  <si>
    <t>Viking ESU</t>
  </si>
  <si>
    <t>Morgan-Hennessy</t>
  </si>
  <si>
    <t>Boardman</t>
  </si>
  <si>
    <t>13th Warrington East (St Elphin's Own)</t>
  </si>
  <si>
    <t>Alison</t>
  </si>
  <si>
    <t>Harper</t>
  </si>
  <si>
    <t>Leatherbarrow</t>
  </si>
  <si>
    <t>Warrington West District</t>
  </si>
  <si>
    <t>Mangan</t>
  </si>
  <si>
    <t>Ellesmere Port &amp; Neston District</t>
  </si>
  <si>
    <t>Bennett-Jones</t>
  </si>
  <si>
    <t>Newson</t>
  </si>
  <si>
    <t>Gabriele</t>
  </si>
  <si>
    <t>Lizio</t>
  </si>
  <si>
    <t>Cvetkow</t>
  </si>
  <si>
    <t>Sharkey</t>
  </si>
  <si>
    <t>Leo</t>
  </si>
  <si>
    <t>Bega</t>
  </si>
  <si>
    <t>Betts</t>
  </si>
  <si>
    <t>Louise</t>
  </si>
  <si>
    <t>Derham</t>
  </si>
  <si>
    <t>Evan</t>
  </si>
  <si>
    <t>Hogan</t>
  </si>
  <si>
    <t>Irwin</t>
  </si>
  <si>
    <t>Macey</t>
  </si>
  <si>
    <t>Pattenden</t>
  </si>
  <si>
    <t>Woods</t>
  </si>
  <si>
    <t>1st Shedfield and ESU</t>
  </si>
  <si>
    <t>Anstead</t>
  </si>
  <si>
    <t>34th Cardiff</t>
  </si>
  <si>
    <t>Fiona</t>
  </si>
  <si>
    <t>Bourne</t>
  </si>
  <si>
    <t>Cross</t>
  </si>
  <si>
    <t>Glencross</t>
  </si>
  <si>
    <t>Arrish</t>
  </si>
  <si>
    <t>Karin</t>
  </si>
  <si>
    <t>Oborski</t>
  </si>
  <si>
    <t>Turner</t>
  </si>
  <si>
    <t>Carwyn</t>
  </si>
  <si>
    <t>Witts</t>
  </si>
  <si>
    <t>Youde</t>
  </si>
  <si>
    <t>Tate</t>
  </si>
  <si>
    <t>Fletcher</t>
  </si>
  <si>
    <t>Hayter</t>
  </si>
  <si>
    <t>Logan</t>
  </si>
  <si>
    <t>Osang</t>
  </si>
  <si>
    <t>29th Odiham</t>
  </si>
  <si>
    <t>Ruby</t>
  </si>
  <si>
    <t>21st Romsey &amp; ESU</t>
  </si>
  <si>
    <t>Sophia</t>
  </si>
  <si>
    <t>Mcfaull</t>
  </si>
  <si>
    <t>Horsham Weald</t>
  </si>
  <si>
    <t>62nd Portsmouth</t>
  </si>
  <si>
    <t>Cole</t>
  </si>
  <si>
    <t>73rd Portsmouth</t>
  </si>
  <si>
    <t>Leviathan ESU</t>
  </si>
  <si>
    <t>Patrick</t>
  </si>
  <si>
    <t>Whitfield</t>
  </si>
  <si>
    <t>79th Reading</t>
  </si>
  <si>
    <t>Calder</t>
  </si>
  <si>
    <t>Troy</t>
  </si>
  <si>
    <t>Leighton</t>
  </si>
  <si>
    <t>Nice</t>
  </si>
  <si>
    <t>Ruffel</t>
  </si>
  <si>
    <t>Molly</t>
  </si>
  <si>
    <t>Joanna</t>
  </si>
  <si>
    <t>Wakefield</t>
  </si>
  <si>
    <t>Woodcock-Mcsherry</t>
  </si>
  <si>
    <t>1st Kingston Hill</t>
  </si>
  <si>
    <t>Briggs</t>
  </si>
  <si>
    <t>Ceiran</t>
  </si>
  <si>
    <t>Forbes</t>
  </si>
  <si>
    <t>Jaydon</t>
  </si>
  <si>
    <t>Hodson</t>
  </si>
  <si>
    <t>Killian</t>
  </si>
  <si>
    <t>Todd</t>
  </si>
  <si>
    <t>Wolff</t>
  </si>
  <si>
    <t>Ed</t>
  </si>
  <si>
    <t>Hackett</t>
  </si>
  <si>
    <t>Burge</t>
  </si>
  <si>
    <t>Euan</t>
  </si>
  <si>
    <t>Newbery</t>
  </si>
  <si>
    <t>Bardzil</t>
  </si>
  <si>
    <t>10th Bath and Blaze ESU</t>
  </si>
  <si>
    <t>1st Aylburton&amp; Lydney</t>
  </si>
  <si>
    <t>Wilf</t>
  </si>
  <si>
    <t>Richards</t>
  </si>
  <si>
    <t>Liani</t>
  </si>
  <si>
    <t>Shirley</t>
  </si>
  <si>
    <t>Timothy</t>
  </si>
  <si>
    <t>Summerfield</t>
  </si>
  <si>
    <t>Jakob</t>
  </si>
  <si>
    <t>Slater-Morris</t>
  </si>
  <si>
    <t>3rd Wombourne</t>
  </si>
  <si>
    <t>Jasmyn</t>
  </si>
  <si>
    <t>Jorja</t>
  </si>
  <si>
    <t>Balchin-Murray</t>
  </si>
  <si>
    <t>Brindley</t>
  </si>
  <si>
    <t>Benedict</t>
  </si>
  <si>
    <t>Conway</t>
  </si>
  <si>
    <t>Denis</t>
  </si>
  <si>
    <t>Baran</t>
  </si>
  <si>
    <t>Rhodes</t>
  </si>
  <si>
    <t>Siân</t>
  </si>
  <si>
    <t>Macklin</t>
  </si>
  <si>
    <t>10th Royal Eltham</t>
  </si>
  <si>
    <t>Greenwich ESU</t>
  </si>
  <si>
    <t>Leila</t>
  </si>
  <si>
    <t>Peddie</t>
  </si>
  <si>
    <t>6th Lewisham South</t>
  </si>
  <si>
    <t>Beckman</t>
  </si>
  <si>
    <t>Lovell</t>
  </si>
  <si>
    <t>Surbiton South ESU</t>
  </si>
  <si>
    <t>Kennet District</t>
  </si>
  <si>
    <t>Barrett</t>
  </si>
  <si>
    <t>Chooi</t>
  </si>
  <si>
    <t>Dumbar</t>
  </si>
  <si>
    <t>Reay</t>
  </si>
  <si>
    <t>Wise</t>
  </si>
  <si>
    <t>Endeavour ESU</t>
  </si>
  <si>
    <t>Coombs</t>
  </si>
  <si>
    <t>Korben</t>
  </si>
  <si>
    <t>Faulkner</t>
  </si>
  <si>
    <t>Parker</t>
  </si>
  <si>
    <t>Lancaster</t>
  </si>
  <si>
    <t>Elodie</t>
  </si>
  <si>
    <t>Fryer</t>
  </si>
  <si>
    <t>Connell</t>
  </si>
  <si>
    <t>Dodd</t>
  </si>
  <si>
    <t>Owens</t>
  </si>
  <si>
    <t>Suviste</t>
  </si>
  <si>
    <t>Abigale</t>
  </si>
  <si>
    <t>Poolton</t>
  </si>
  <si>
    <t>Priest</t>
  </si>
  <si>
    <t>Sidney</t>
  </si>
  <si>
    <t>Whittington</t>
  </si>
  <si>
    <t>Amie</t>
  </si>
  <si>
    <t>5th Woodley</t>
  </si>
  <si>
    <t>Walker</t>
  </si>
  <si>
    <t>Loughrey</t>
  </si>
  <si>
    <t>Slade</t>
  </si>
  <si>
    <t>Wharton</t>
  </si>
  <si>
    <t>Dominik</t>
  </si>
  <si>
    <t>Machnowski</t>
  </si>
  <si>
    <t>Dyer</t>
  </si>
  <si>
    <t>Tim</t>
  </si>
  <si>
    <t>Gunner</t>
  </si>
  <si>
    <t>Sear</t>
  </si>
  <si>
    <t>Fewings</t>
  </si>
  <si>
    <t>Tommy</t>
  </si>
  <si>
    <t>Madison</t>
  </si>
  <si>
    <t>North</t>
  </si>
  <si>
    <t>Longfield &amp; Hartley Castle</t>
  </si>
  <si>
    <t>Whatley</t>
  </si>
  <si>
    <t>Finney</t>
  </si>
  <si>
    <t>Simpson</t>
  </si>
  <si>
    <t>Giannasi</t>
  </si>
  <si>
    <t>Engall</t>
  </si>
  <si>
    <t>Leon</t>
  </si>
  <si>
    <t>Holyoak</t>
  </si>
  <si>
    <t>Chick</t>
  </si>
  <si>
    <t>Fancote</t>
  </si>
  <si>
    <t>Gillentine</t>
  </si>
  <si>
    <t>1st Somerton</t>
  </si>
  <si>
    <t>Jj</t>
  </si>
  <si>
    <t>Philips</t>
  </si>
  <si>
    <t>Courtney</t>
  </si>
  <si>
    <t>Palmer-Jones</t>
  </si>
  <si>
    <t>Cannon</t>
  </si>
  <si>
    <t>Panton</t>
  </si>
  <si>
    <t>Mid Devon District</t>
  </si>
  <si>
    <t>1st North Sutton &amp; ESU</t>
  </si>
  <si>
    <t>Emerson</t>
  </si>
  <si>
    <t>Sutton District</t>
  </si>
  <si>
    <t>Keeler</t>
  </si>
  <si>
    <t>Brunei</t>
  </si>
  <si>
    <t>Reah</t>
  </si>
  <si>
    <t>Chagger</t>
  </si>
  <si>
    <t>1st Finchfield</t>
  </si>
  <si>
    <t>Rowan</t>
  </si>
  <si>
    <t>Dressel</t>
  </si>
  <si>
    <t>Brabazon ESU, Cabot</t>
  </si>
  <si>
    <t>Nicholls</t>
  </si>
  <si>
    <t>Shannon</t>
  </si>
  <si>
    <t>Watkins</t>
  </si>
  <si>
    <t>Eckley</t>
  </si>
  <si>
    <t>Woollard</t>
  </si>
  <si>
    <t>Saffron</t>
  </si>
  <si>
    <t>Long</t>
  </si>
  <si>
    <t>Len</t>
  </si>
  <si>
    <t>Skinner</t>
  </si>
  <si>
    <t>Genevieve</t>
  </si>
  <si>
    <t>6th Barry Sea Scouts</t>
  </si>
  <si>
    <t>1st Hoveton and Wroxham</t>
  </si>
  <si>
    <t>10th Frome</t>
  </si>
  <si>
    <t>2016 competitors (from Scores database)</t>
  </si>
  <si>
    <t>Review date sensitive validation criteria (link to last yr results in col G)</t>
  </si>
  <si>
    <r>
      <rPr>
        <b/>
        <sz val="9"/>
        <color indexed="8"/>
        <rFont val="Arial Narrow"/>
        <family val="2"/>
      </rPr>
      <t>Target Sprint</t>
    </r>
    <r>
      <rPr>
        <sz val="9"/>
        <color indexed="8"/>
        <rFont val="Arial Narrow"/>
        <family val="2"/>
      </rPr>
      <t xml:space="preserve">
Both classes may be entered but see Rule 30f</t>
    </r>
  </si>
  <si>
    <t xml:space="preserve">(Spring guns only) </t>
  </si>
  <si>
    <t xml:space="preserve"> (Spring guns  only)</t>
  </si>
  <si>
    <t xml:space="preserve">Rifle </t>
  </si>
  <si>
    <t xml:space="preserve">6yd </t>
  </si>
  <si>
    <t>Pistol</t>
  </si>
  <si>
    <t>Air</t>
  </si>
  <si>
    <t>Rifle</t>
  </si>
  <si>
    <t>Advanced (Hunter) Field Target</t>
  </si>
  <si>
    <r>
      <t xml:space="preserve">Fill in the Team type, Group/Unit, District &amp; County and the individual competitors' details on the "Entrants" sheet
</t>
    </r>
    <r>
      <rPr>
        <b/>
        <i/>
        <sz val="12"/>
        <rFont val="Arial"/>
        <family val="2"/>
      </rPr>
      <t>Include Range Staff on the same list as competitors, even if they are not competing in any events</t>
    </r>
    <r>
      <rPr>
        <i/>
        <sz val="12"/>
        <rFont val="Arial"/>
        <family val="2"/>
      </rPr>
      <t>.</t>
    </r>
  </si>
  <si>
    <t>Errors, Warnings &amp; Remarks relating to specified entrants:</t>
  </si>
  <si>
    <t>NB: S-B on Sunday only</t>
  </si>
  <si>
    <t>NB: FB on Sunday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</si>
</sst>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164" formatCode="0.0"/>
    <numFmt numFmtId="165" formatCode="dd/mm/yyyy;@"/>
    <numFmt numFmtId="166" formatCode="0.000"/>
    <numFmt numFmtId="167" formatCode="&quot;£&quot;#,##0.00"/>
    <numFmt numFmtId="168" formatCode="dd/mm/yy;@"/>
    <numFmt numFmtId="169" formatCode="0;\-0;;@"/>
  </numFmts>
  <fonts count="62" x14ac:knownFonts="1">
    <font>
      <sz val="10"/>
      <name val="Arial"/>
    </font>
    <font>
      <b/>
      <u/>
      <sz val="12"/>
      <color indexed="8"/>
      <name val="Arial Narrow"/>
      <family val="2"/>
    </font>
    <font>
      <b/>
      <sz val="6"/>
      <color indexed="8"/>
      <name val="Arial"/>
      <family val="2"/>
    </font>
    <font>
      <sz val="12"/>
      <color indexed="8"/>
      <name val="Times New Roman"/>
      <family val="1"/>
    </font>
    <font>
      <b/>
      <u/>
      <sz val="12"/>
      <color indexed="8"/>
      <name val="Arial"/>
      <family val="2"/>
    </font>
    <font>
      <b/>
      <sz val="12"/>
      <color indexed="8"/>
      <name val="Times New Roman"/>
      <family val="1"/>
    </font>
    <font>
      <b/>
      <sz val="11"/>
      <color indexed="8"/>
      <name val="Arial"/>
      <family val="2"/>
    </font>
    <font>
      <b/>
      <sz val="10"/>
      <color indexed="8"/>
      <name val="Arial Narrow"/>
      <family val="2"/>
    </font>
    <font>
      <sz val="10"/>
      <color indexed="8"/>
      <name val="Arial Narrow"/>
      <family val="2"/>
    </font>
    <font>
      <b/>
      <sz val="11"/>
      <color indexed="8"/>
      <name val="Arial Narrow"/>
      <family val="2"/>
    </font>
    <font>
      <sz val="9"/>
      <color indexed="8"/>
      <name val="Arial Narrow"/>
      <family val="2"/>
    </font>
    <font>
      <b/>
      <sz val="9"/>
      <color indexed="8"/>
      <name val="Times New Roman"/>
      <family val="1"/>
    </font>
    <font>
      <sz val="8"/>
      <color indexed="8"/>
      <name val="Arial Narrow"/>
      <family val="2"/>
    </font>
    <font>
      <sz val="8"/>
      <name val="Arial"/>
      <family val="2"/>
    </font>
    <font>
      <sz val="9"/>
      <color indexed="10"/>
      <name val="Arial Narrow"/>
      <family val="2"/>
    </font>
    <font>
      <b/>
      <sz val="10"/>
      <name val="Arial"/>
      <family val="2"/>
    </font>
    <font>
      <b/>
      <sz val="10"/>
      <color indexed="10"/>
      <name val="Arial"/>
      <family val="2"/>
    </font>
    <font>
      <b/>
      <sz val="10"/>
      <color indexed="8"/>
      <name val="Arial"/>
      <family val="2"/>
    </font>
    <font>
      <sz val="11"/>
      <color indexed="8"/>
      <name val="Arial Narrow"/>
      <family val="2"/>
    </font>
    <font>
      <i/>
      <sz val="10"/>
      <color indexed="8"/>
      <name val="Arial Narrow"/>
      <family val="2"/>
    </font>
    <font>
      <b/>
      <sz val="9"/>
      <color indexed="8"/>
      <name val="Arial Narrow"/>
      <family val="2"/>
    </font>
    <font>
      <sz val="9"/>
      <color indexed="8"/>
      <name val="Arial"/>
      <family val="2"/>
    </font>
    <font>
      <b/>
      <sz val="9"/>
      <color indexed="8"/>
      <name val="Arial"/>
      <family val="2"/>
    </font>
    <font>
      <i/>
      <sz val="10"/>
      <color indexed="8"/>
      <name val="Times New Roman"/>
      <family val="1"/>
    </font>
    <font>
      <sz val="10"/>
      <color indexed="8"/>
      <name val="Times New Roman"/>
      <family val="1"/>
    </font>
    <font>
      <b/>
      <sz val="12"/>
      <color indexed="8"/>
      <name val="Arial Narrow"/>
      <family val="2"/>
    </font>
    <font>
      <sz val="10"/>
      <name val="Arial"/>
      <family val="2"/>
    </font>
    <font>
      <sz val="10"/>
      <name val="Arial"/>
      <family val="2"/>
    </font>
    <font>
      <b/>
      <sz val="12"/>
      <name val="Arial"/>
      <family val="2"/>
    </font>
    <font>
      <sz val="12"/>
      <name val="Arial"/>
      <family val="2"/>
    </font>
    <font>
      <sz val="12"/>
      <color indexed="8"/>
      <name val="Arial"/>
      <family val="2"/>
    </font>
    <font>
      <b/>
      <sz val="14"/>
      <name val="Arial"/>
      <family val="2"/>
    </font>
    <font>
      <u/>
      <sz val="12"/>
      <color indexed="12"/>
      <name val="Arial"/>
      <family val="2"/>
    </font>
    <font>
      <i/>
      <sz val="10"/>
      <color indexed="18"/>
      <name val="Arial"/>
      <family val="2"/>
    </font>
    <font>
      <sz val="8"/>
      <color indexed="43"/>
      <name val="Arial Narrow"/>
      <family val="2"/>
    </font>
    <font>
      <sz val="9"/>
      <name val="Arial Narrow"/>
      <family val="2"/>
    </font>
    <font>
      <b/>
      <sz val="8"/>
      <name val="Times New Roman"/>
      <family val="1"/>
    </font>
    <font>
      <sz val="8"/>
      <name val="Times New Roman"/>
      <family val="1"/>
    </font>
    <font>
      <sz val="8"/>
      <name val="Arial Narrow"/>
      <family val="2"/>
    </font>
    <font>
      <sz val="10"/>
      <name val="Arial Narrow"/>
      <family val="2"/>
    </font>
    <font>
      <sz val="11"/>
      <name val="Arial"/>
      <family val="2"/>
    </font>
    <font>
      <sz val="22"/>
      <color indexed="8"/>
      <name val="Arial"/>
      <family val="2"/>
    </font>
    <font>
      <sz val="22"/>
      <name val="Arial"/>
      <family val="2"/>
    </font>
    <font>
      <b/>
      <sz val="22"/>
      <color indexed="8"/>
      <name val="Arial"/>
      <family val="2"/>
    </font>
    <font>
      <b/>
      <sz val="14"/>
      <color indexed="10"/>
      <name val="Arial"/>
      <family val="2"/>
    </font>
    <font>
      <sz val="10"/>
      <color indexed="8"/>
      <name val="Arial"/>
      <family val="2"/>
    </font>
    <font>
      <u/>
      <sz val="10"/>
      <color theme="10"/>
      <name val="Arial"/>
      <family val="2"/>
    </font>
    <font>
      <sz val="10"/>
      <color theme="0"/>
      <name val="Arial"/>
      <family val="2"/>
    </font>
    <font>
      <b/>
      <sz val="10"/>
      <color theme="0"/>
      <name val="Arial"/>
      <family val="2"/>
    </font>
    <font>
      <sz val="10"/>
      <color rgb="FF92D050"/>
      <name val="Arial"/>
      <family val="2"/>
    </font>
    <font>
      <sz val="8"/>
      <color rgb="FFFFCC00"/>
      <name val="Arial Narrow"/>
      <family val="2"/>
    </font>
    <font>
      <b/>
      <sz val="10"/>
      <color rgb="FFFF0000"/>
      <name val="Arial Black"/>
      <family val="2"/>
    </font>
    <font>
      <sz val="10"/>
      <color rgb="FFFF0000"/>
      <name val="Arial Black"/>
      <family val="2"/>
    </font>
    <font>
      <b/>
      <sz val="18"/>
      <name val="Arial"/>
      <family val="2"/>
    </font>
    <font>
      <sz val="9"/>
      <color theme="0"/>
      <name val="Arial"/>
      <family val="2"/>
    </font>
    <font>
      <sz val="9"/>
      <name val="Arial"/>
      <family val="2"/>
    </font>
    <font>
      <b/>
      <u/>
      <sz val="9"/>
      <color indexed="8"/>
      <name val="Arial Narrow"/>
      <family val="2"/>
    </font>
    <font>
      <b/>
      <sz val="8"/>
      <color indexed="8"/>
      <name val="Arial Narrow"/>
      <family val="2"/>
    </font>
    <font>
      <b/>
      <u/>
      <sz val="10"/>
      <color indexed="8"/>
      <name val="Arial Narrow"/>
      <family val="2"/>
    </font>
    <font>
      <sz val="10"/>
      <color theme="5" tint="-0.499984740745262"/>
      <name val="Arial"/>
      <family val="2"/>
    </font>
    <font>
      <i/>
      <sz val="12"/>
      <name val="Arial"/>
      <family val="2"/>
    </font>
    <font>
      <b/>
      <i/>
      <sz val="12"/>
      <name val="Arial"/>
      <family val="2"/>
    </font>
  </fonts>
  <fills count="2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27"/>
        <bgColor indexed="64"/>
      </patternFill>
    </fill>
    <fill>
      <patternFill patternType="solid">
        <fgColor rgb="FF66FFFF"/>
        <bgColor indexed="64"/>
      </patternFill>
    </fill>
    <fill>
      <patternFill patternType="solid">
        <fgColor rgb="FFFF99FF"/>
        <bgColor indexed="64"/>
      </patternFill>
    </fill>
    <fill>
      <patternFill patternType="solid">
        <fgColor rgb="FFFFCC99"/>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66"/>
        <bgColor indexed="64"/>
      </patternFill>
    </fill>
    <fill>
      <patternFill patternType="solid">
        <fgColor theme="9" tint="0.59999389629810485"/>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CC"/>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s>
  <borders count="85">
    <border>
      <left/>
      <right/>
      <top/>
      <bottom/>
      <diagonal/>
    </border>
    <border>
      <left/>
      <right style="dotted">
        <color indexed="64"/>
      </right>
      <top/>
      <bottom/>
      <diagonal/>
    </border>
    <border>
      <left/>
      <right style="medium">
        <color indexed="64"/>
      </right>
      <top/>
      <bottom/>
      <diagonal/>
    </border>
    <border>
      <left style="dotted">
        <color indexed="64"/>
      </left>
      <right style="dotted">
        <color indexed="64"/>
      </right>
      <top/>
      <bottom/>
      <diagonal/>
    </border>
    <border>
      <left style="medium">
        <color indexed="64"/>
      </left>
      <right style="medium">
        <color indexed="64"/>
      </right>
      <top/>
      <bottom/>
      <diagonal/>
    </border>
    <border>
      <left style="dotted">
        <color indexed="64"/>
      </left>
      <right/>
      <top/>
      <bottom/>
      <diagonal/>
    </border>
    <border>
      <left style="medium">
        <color indexed="64"/>
      </left>
      <right/>
      <top/>
      <bottom/>
      <diagonal/>
    </border>
    <border>
      <left style="thin">
        <color indexed="64"/>
      </left>
      <right style="medium">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dotted">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style="dotted">
        <color indexed="64"/>
      </left>
      <right style="dotted">
        <color indexed="64"/>
      </right>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dotted">
        <color indexed="64"/>
      </left>
      <right style="thick">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thick">
        <color indexed="64"/>
      </right>
      <top style="medium">
        <color indexed="64"/>
      </top>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46" fillId="0" borderId="0" applyNumberFormat="0" applyFill="0" applyBorder="0" applyAlignment="0" applyProtection="0"/>
    <xf numFmtId="0" fontId="27" fillId="0" borderId="0"/>
  </cellStyleXfs>
  <cellXfs count="633">
    <xf numFmtId="0" fontId="0" fillId="0" borderId="0" xfId="0"/>
    <xf numFmtId="0" fontId="0" fillId="0" borderId="0" xfId="0" applyAlignment="1">
      <alignment horizontal="center"/>
    </xf>
    <xf numFmtId="0" fontId="0" fillId="0" borderId="1" xfId="0" applyBorder="1" applyAlignment="1">
      <alignment textRotation="90" wrapText="1"/>
    </xf>
    <xf numFmtId="0" fontId="10" fillId="0" borderId="2" xfId="0" applyFont="1" applyBorder="1" applyAlignment="1">
      <alignment horizontal="center" wrapText="1"/>
    </xf>
    <xf numFmtId="0" fontId="10" fillId="0" borderId="3" xfId="0" applyFont="1" applyBorder="1" applyAlignment="1">
      <alignment textRotation="90" wrapText="1"/>
    </xf>
    <xf numFmtId="0" fontId="10" fillId="0" borderId="4" xfId="0" applyFont="1" applyBorder="1" applyAlignment="1">
      <alignment textRotation="90" wrapText="1"/>
    </xf>
    <xf numFmtId="0" fontId="8" fillId="0" borderId="3" xfId="0" applyFont="1" applyBorder="1" applyAlignment="1">
      <alignment horizontal="center" vertical="top" wrapText="1"/>
    </xf>
    <xf numFmtId="0" fontId="10" fillId="0" borderId="5" xfId="0" applyFont="1" applyBorder="1" applyAlignment="1">
      <alignment textRotation="90" wrapText="1"/>
    </xf>
    <xf numFmtId="0" fontId="0" fillId="0" borderId="6" xfId="0" applyBorder="1"/>
    <xf numFmtId="0" fontId="0" fillId="0" borderId="0" xfId="0" applyBorder="1"/>
    <xf numFmtId="0" fontId="10" fillId="0" borderId="4" xfId="0" applyFont="1" applyBorder="1" applyAlignment="1">
      <alignment horizontal="center" wrapText="1"/>
    </xf>
    <xf numFmtId="0" fontId="8" fillId="0" borderId="8" xfId="0" applyFont="1" applyBorder="1" applyAlignment="1">
      <alignment horizont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0" fillId="0" borderId="0" xfId="0" applyAlignment="1"/>
    <xf numFmtId="0" fontId="12" fillId="0" borderId="8" xfId="0" applyFont="1" applyBorder="1" applyAlignment="1">
      <alignment horizontal="center" wrapText="1"/>
    </xf>
    <xf numFmtId="0" fontId="12" fillId="0" borderId="1" xfId="0" applyFont="1" applyBorder="1" applyAlignment="1">
      <alignment horizontal="center" wrapText="1"/>
    </xf>
    <xf numFmtId="0" fontId="12" fillId="0" borderId="0" xfId="0" applyFont="1" applyBorder="1" applyAlignment="1">
      <alignment horizontal="center" wrapText="1"/>
    </xf>
    <xf numFmtId="0" fontId="12" fillId="0" borderId="12" xfId="0" applyFont="1" applyBorder="1" applyAlignment="1">
      <alignment wrapText="1"/>
    </xf>
    <xf numFmtId="0" fontId="14" fillId="0" borderId="3" xfId="0" applyFont="1" applyBorder="1" applyAlignment="1">
      <alignment textRotation="90" wrapText="1"/>
    </xf>
    <xf numFmtId="0" fontId="12" fillId="0" borderId="12" xfId="0" applyFont="1" applyBorder="1" applyAlignment="1">
      <alignment horizontal="center" wrapText="1"/>
    </xf>
    <xf numFmtId="164" fontId="0" fillId="0" borderId="0" xfId="0" applyNumberFormat="1"/>
    <xf numFmtId="165" fontId="12" fillId="0" borderId="12" xfId="0" applyNumberFormat="1" applyFont="1" applyBorder="1" applyAlignment="1">
      <alignment wrapText="1"/>
    </xf>
    <xf numFmtId="165" fontId="0" fillId="0" borderId="0" xfId="0" applyNumberFormat="1"/>
    <xf numFmtId="166" fontId="0" fillId="0" borderId="0" xfId="0" applyNumberFormat="1"/>
    <xf numFmtId="166" fontId="0" fillId="0" borderId="0" xfId="0" applyNumberFormat="1" applyAlignment="1"/>
    <xf numFmtId="167" fontId="12" fillId="0" borderId="12" xfId="0" applyNumberFormat="1" applyFont="1" applyBorder="1" applyAlignment="1">
      <alignment horizontal="center" wrapText="1"/>
    </xf>
    <xf numFmtId="0" fontId="0" fillId="0" borderId="13" xfId="0" applyBorder="1"/>
    <xf numFmtId="0" fontId="0" fillId="0" borderId="14" xfId="0" applyBorder="1"/>
    <xf numFmtId="1" fontId="0" fillId="0" borderId="0" xfId="0" applyNumberFormat="1" applyAlignment="1">
      <alignment horizontal="center"/>
    </xf>
    <xf numFmtId="0" fontId="0" fillId="0" borderId="0" xfId="0" applyFill="1" applyBorder="1"/>
    <xf numFmtId="0" fontId="0" fillId="0" borderId="15" xfId="0" applyBorder="1"/>
    <xf numFmtId="0" fontId="0" fillId="0" borderId="16" xfId="0" applyBorder="1"/>
    <xf numFmtId="0" fontId="0" fillId="0" borderId="17" xfId="0" applyBorder="1"/>
    <xf numFmtId="0" fontId="0" fillId="0" borderId="2" xfId="0" applyBorder="1"/>
    <xf numFmtId="0" fontId="2" fillId="0" borderId="6" xfId="0" applyFont="1" applyBorder="1" applyAlignment="1">
      <alignment horizontal="center"/>
    </xf>
    <xf numFmtId="0" fontId="3" fillId="0" borderId="6" xfId="0" applyFont="1" applyBorder="1" applyAlignment="1">
      <alignment horizontal="left" vertical="top" wrapText="1" indent="1"/>
    </xf>
    <xf numFmtId="0" fontId="16" fillId="0" borderId="2" xfId="0" applyFont="1" applyBorder="1"/>
    <xf numFmtId="0" fontId="0" fillId="0" borderId="2" xfId="0" applyBorder="1" applyAlignment="1"/>
    <xf numFmtId="1" fontId="16" fillId="0" borderId="2" xfId="0" applyNumberFormat="1" applyFont="1" applyBorder="1" applyAlignment="1">
      <alignment horizontal="left"/>
    </xf>
    <xf numFmtId="0" fontId="0" fillId="0" borderId="18" xfId="0" applyBorder="1"/>
    <xf numFmtId="0" fontId="8" fillId="0" borderId="13" xfId="0" applyFont="1" applyBorder="1" applyAlignment="1">
      <alignment vertical="top" wrapText="1"/>
    </xf>
    <xf numFmtId="0" fontId="8" fillId="0" borderId="14" xfId="0" applyFont="1" applyBorder="1" applyAlignment="1">
      <alignment vertical="top" wrapText="1"/>
    </xf>
    <xf numFmtId="0" fontId="8" fillId="0" borderId="19" xfId="0" applyFont="1" applyBorder="1" applyAlignment="1">
      <alignment horizontal="center" vertical="top" wrapText="1"/>
    </xf>
    <xf numFmtId="0" fontId="18" fillId="0" borderId="15" xfId="0" applyFont="1" applyBorder="1" applyAlignment="1">
      <alignment vertical="top" wrapText="1"/>
    </xf>
    <xf numFmtId="0" fontId="8" fillId="0" borderId="18" xfId="0" applyFont="1" applyBorder="1" applyAlignment="1">
      <alignment vertical="top" wrapText="1"/>
    </xf>
    <xf numFmtId="0" fontId="8" fillId="0" borderId="13" xfId="0" applyFont="1" applyBorder="1" applyAlignment="1">
      <alignment horizontal="center" vertical="top" wrapText="1"/>
    </xf>
    <xf numFmtId="0" fontId="7" fillId="0" borderId="20" xfId="0" applyFont="1" applyBorder="1" applyAlignment="1">
      <alignment vertical="top" wrapText="1"/>
    </xf>
    <xf numFmtId="0" fontId="15" fillId="0" borderId="21" xfId="0" applyFont="1" applyBorder="1" applyAlignment="1"/>
    <xf numFmtId="0" fontId="8" fillId="0" borderId="6" xfId="0" applyFont="1" applyFill="1" applyBorder="1" applyAlignment="1">
      <alignment vertical="top" wrapText="1"/>
    </xf>
    <xf numFmtId="0" fontId="8" fillId="2" borderId="14" xfId="0" applyFont="1" applyFill="1" applyBorder="1" applyAlignment="1">
      <alignment vertical="top" wrapText="1"/>
    </xf>
    <xf numFmtId="0" fontId="12" fillId="2" borderId="22" xfId="0" applyFont="1" applyFill="1" applyBorder="1" applyAlignment="1">
      <alignment wrapText="1"/>
    </xf>
    <xf numFmtId="0" fontId="12" fillId="2" borderId="23" xfId="0" applyFont="1" applyFill="1" applyBorder="1" applyAlignment="1">
      <alignment wrapText="1"/>
    </xf>
    <xf numFmtId="165" fontId="12" fillId="2" borderId="23" xfId="0" applyNumberFormat="1" applyFont="1" applyFill="1" applyBorder="1" applyAlignment="1">
      <alignment wrapText="1"/>
    </xf>
    <xf numFmtId="0" fontId="12" fillId="2" borderId="23" xfId="0" applyFont="1" applyFill="1" applyBorder="1" applyAlignment="1">
      <alignment horizontal="center" wrapText="1"/>
    </xf>
    <xf numFmtId="1" fontId="12" fillId="2" borderId="23" xfId="0" applyNumberFormat="1" applyFont="1" applyFill="1" applyBorder="1" applyAlignment="1">
      <alignment horizontal="center" wrapText="1"/>
    </xf>
    <xf numFmtId="0" fontId="12" fillId="2" borderId="12" xfId="0" applyFont="1" applyFill="1" applyBorder="1" applyAlignment="1">
      <alignment horizontal="center" wrapText="1"/>
    </xf>
    <xf numFmtId="0" fontId="12" fillId="2" borderId="24" xfId="0" applyFont="1" applyFill="1" applyBorder="1" applyAlignment="1">
      <alignment wrapText="1"/>
    </xf>
    <xf numFmtId="0" fontId="12" fillId="2" borderId="12" xfId="0" applyFont="1" applyFill="1" applyBorder="1" applyAlignment="1">
      <alignment wrapText="1"/>
    </xf>
    <xf numFmtId="165" fontId="12" fillId="2" borderId="12" xfId="0" applyNumberFormat="1" applyFont="1" applyFill="1" applyBorder="1" applyAlignment="1">
      <alignment wrapText="1"/>
    </xf>
    <xf numFmtId="1" fontId="12" fillId="2" borderId="12" xfId="0" applyNumberFormat="1" applyFont="1" applyFill="1" applyBorder="1" applyAlignment="1">
      <alignment horizontal="center" wrapText="1"/>
    </xf>
    <xf numFmtId="0" fontId="12" fillId="2" borderId="25" xfId="0" applyFont="1" applyFill="1" applyBorder="1" applyAlignment="1">
      <alignment wrapText="1"/>
    </xf>
    <xf numFmtId="0" fontId="12" fillId="2" borderId="26" xfId="0" applyFont="1" applyFill="1" applyBorder="1" applyAlignment="1">
      <alignment wrapText="1"/>
    </xf>
    <xf numFmtId="165" fontId="12" fillId="2" borderId="26" xfId="0" applyNumberFormat="1" applyFont="1" applyFill="1" applyBorder="1" applyAlignment="1">
      <alignment wrapText="1"/>
    </xf>
    <xf numFmtId="0" fontId="12" fillId="2" borderId="26" xfId="0" applyFont="1" applyFill="1" applyBorder="1" applyAlignment="1">
      <alignment horizontal="center" wrapText="1"/>
    </xf>
    <xf numFmtId="1" fontId="12" fillId="2" borderId="26" xfId="0" applyNumberFormat="1" applyFont="1" applyFill="1" applyBorder="1" applyAlignment="1">
      <alignment horizontal="center" wrapText="1"/>
    </xf>
    <xf numFmtId="0" fontId="15" fillId="3" borderId="27" xfId="0" applyFont="1" applyFill="1" applyBorder="1" applyAlignment="1"/>
    <xf numFmtId="0" fontId="22" fillId="3" borderId="19" xfId="0" applyFont="1" applyFill="1" applyBorder="1" applyAlignment="1">
      <alignment horizontal="center" vertical="top" wrapText="1"/>
    </xf>
    <xf numFmtId="167" fontId="17" fillId="3" borderId="28" xfId="0" applyNumberFormat="1" applyFont="1" applyFill="1" applyBorder="1" applyAlignment="1">
      <alignment horizontal="center" vertical="top" wrapText="1"/>
    </xf>
    <xf numFmtId="167" fontId="6" fillId="3" borderId="29" xfId="0" applyNumberFormat="1" applyFont="1" applyFill="1" applyBorder="1" applyAlignment="1">
      <alignment horizontal="center" vertical="top" wrapText="1"/>
    </xf>
    <xf numFmtId="0" fontId="17" fillId="3" borderId="19" xfId="0" applyFont="1" applyFill="1" applyBorder="1" applyAlignment="1">
      <alignment horizontal="center" vertical="top" wrapText="1"/>
    </xf>
    <xf numFmtId="0" fontId="23" fillId="0" borderId="0" xfId="0" applyFont="1" applyAlignment="1">
      <alignment horizontal="right"/>
    </xf>
    <xf numFmtId="0" fontId="24" fillId="0" borderId="0" xfId="0" applyFont="1"/>
    <xf numFmtId="0" fontId="4" fillId="0" borderId="0" xfId="0" applyFont="1" applyAlignment="1">
      <alignment horizontal="left" vertical="top" wrapText="1" indent="1"/>
    </xf>
    <xf numFmtId="0" fontId="3" fillId="0" borderId="0" xfId="0" applyFont="1" applyAlignment="1">
      <alignment horizontal="left" vertical="top" wrapText="1" indent="1"/>
    </xf>
    <xf numFmtId="0" fontId="1" fillId="0" borderId="0" xfId="0" applyFont="1" applyAlignment="1">
      <alignment horizontal="center"/>
    </xf>
    <xf numFmtId="0" fontId="4" fillId="0" borderId="0" xfId="0" applyFont="1" applyAlignment="1">
      <alignment horizontal="center"/>
    </xf>
    <xf numFmtId="0" fontId="25" fillId="0" borderId="0" xfId="0" applyFont="1" applyAlignment="1">
      <alignment horizontal="center"/>
    </xf>
    <xf numFmtId="0" fontId="27" fillId="0" borderId="0" xfId="0" applyFont="1"/>
    <xf numFmtId="0" fontId="27" fillId="0" borderId="0" xfId="0" applyFont="1" applyAlignment="1">
      <alignment horizontal="center"/>
    </xf>
    <xf numFmtId="0" fontId="12" fillId="0" borderId="0" xfId="0" applyFont="1" applyFill="1" applyBorder="1" applyAlignment="1">
      <alignment wrapText="1"/>
    </xf>
    <xf numFmtId="165" fontId="12" fillId="0" borderId="0" xfId="0" applyNumberFormat="1" applyFont="1" applyFill="1" applyBorder="1" applyAlignment="1">
      <alignment wrapText="1"/>
    </xf>
    <xf numFmtId="0" fontId="12" fillId="0" borderId="0" xfId="0" applyFont="1" applyFill="1" applyBorder="1" applyAlignment="1">
      <alignment horizontal="center" wrapText="1"/>
    </xf>
    <xf numFmtId="1" fontId="12" fillId="0" borderId="0" xfId="0" applyNumberFormat="1" applyFont="1" applyFill="1" applyBorder="1" applyAlignment="1">
      <alignment horizontal="center" wrapText="1"/>
    </xf>
    <xf numFmtId="0" fontId="28" fillId="0" borderId="0" xfId="0" applyFont="1"/>
    <xf numFmtId="0" fontId="29" fillId="0" borderId="0" xfId="0" applyFont="1"/>
    <xf numFmtId="0" fontId="28" fillId="0" borderId="0" xfId="0" applyFont="1" applyAlignment="1">
      <alignment horizontal="left" vertical="center"/>
    </xf>
    <xf numFmtId="0" fontId="32" fillId="0" borderId="0" xfId="1" applyFont="1"/>
    <xf numFmtId="0" fontId="30" fillId="2" borderId="0" xfId="0" applyFont="1" applyFill="1" applyBorder="1" applyAlignment="1">
      <alignment vertical="top" wrapText="1"/>
    </xf>
    <xf numFmtId="0" fontId="30" fillId="3" borderId="0" xfId="0" applyFont="1" applyFill="1" applyBorder="1" applyAlignment="1">
      <alignment horizontal="left" vertical="top" wrapText="1"/>
    </xf>
    <xf numFmtId="0" fontId="29" fillId="0" borderId="0" xfId="0" applyFont="1" applyBorder="1"/>
    <xf numFmtId="0" fontId="30" fillId="4" borderId="0" xfId="0" applyFont="1" applyFill="1" applyBorder="1" applyAlignment="1">
      <alignment vertical="top" wrapText="1"/>
    </xf>
    <xf numFmtId="0" fontId="31" fillId="0" borderId="0" xfId="0" applyFont="1"/>
    <xf numFmtId="0" fontId="28" fillId="0" borderId="0" xfId="0" applyFont="1" applyAlignment="1">
      <alignment horizontal="center"/>
    </xf>
    <xf numFmtId="164" fontId="0" fillId="0" borderId="0" xfId="0" applyNumberFormat="1" applyAlignment="1">
      <alignment horizontal="center"/>
    </xf>
    <xf numFmtId="0" fontId="14" fillId="0" borderId="3" xfId="0" applyFont="1" applyBorder="1" applyAlignment="1">
      <alignment horizontal="center" textRotation="90" wrapText="1"/>
    </xf>
    <xf numFmtId="0" fontId="10" fillId="0" borderId="3" xfId="0" applyFont="1" applyBorder="1" applyAlignment="1">
      <alignment horizontal="center" textRotation="90" wrapText="1"/>
    </xf>
    <xf numFmtId="0" fontId="0" fillId="0" borderId="28" xfId="0" applyBorder="1" applyAlignment="1">
      <alignment horizontal="center"/>
    </xf>
    <xf numFmtId="0" fontId="0" fillId="0" borderId="30" xfId="0" applyBorder="1" applyAlignment="1">
      <alignment horizontal="center"/>
    </xf>
    <xf numFmtId="0" fontId="12" fillId="2" borderId="31" xfId="0" applyFont="1" applyFill="1" applyBorder="1" applyAlignment="1">
      <alignment horizontal="center" wrapText="1"/>
    </xf>
    <xf numFmtId="0" fontId="12" fillId="2" borderId="21" xfId="0" applyFont="1" applyFill="1" applyBorder="1" applyAlignment="1">
      <alignment horizontal="center" wrapText="1"/>
    </xf>
    <xf numFmtId="0" fontId="12" fillId="2" borderId="32" xfId="0" applyFont="1" applyFill="1" applyBorder="1" applyAlignment="1">
      <alignment horizontal="center" wrapText="1"/>
    </xf>
    <xf numFmtId="0" fontId="12" fillId="2" borderId="33" xfId="0" applyFont="1" applyFill="1" applyBorder="1" applyAlignment="1">
      <alignment horizontal="center" wrapText="1"/>
    </xf>
    <xf numFmtId="0" fontId="12" fillId="2" borderId="34" xfId="0" applyFont="1" applyFill="1" applyBorder="1" applyAlignment="1">
      <alignment horizontal="center" wrapText="1"/>
    </xf>
    <xf numFmtId="0" fontId="0" fillId="0" borderId="0" xfId="0" applyAlignment="1">
      <alignment horizontal="center" wrapText="1"/>
    </xf>
    <xf numFmtId="0" fontId="12" fillId="2" borderId="35" xfId="0" applyFont="1" applyFill="1" applyBorder="1" applyAlignment="1">
      <alignment horizontal="center" wrapText="1"/>
    </xf>
    <xf numFmtId="0" fontId="12" fillId="2" borderId="36" xfId="0" applyFont="1" applyFill="1" applyBorder="1" applyAlignment="1">
      <alignment horizontal="center" wrapText="1"/>
    </xf>
    <xf numFmtId="0" fontId="12" fillId="2" borderId="37" xfId="0" applyFont="1" applyFill="1" applyBorder="1" applyAlignment="1">
      <alignment horizontal="center" wrapText="1"/>
    </xf>
    <xf numFmtId="166" fontId="0" fillId="3" borderId="15" xfId="0" applyNumberFormat="1" applyFill="1" applyBorder="1"/>
    <xf numFmtId="166" fontId="0" fillId="3" borderId="13" xfId="0" applyNumberFormat="1" applyFill="1" applyBorder="1"/>
    <xf numFmtId="0" fontId="0" fillId="0" borderId="38" xfId="0" applyBorder="1" applyAlignment="1">
      <alignment horizontal="center"/>
    </xf>
    <xf numFmtId="0" fontId="33" fillId="4" borderId="28" xfId="0" applyFont="1" applyFill="1" applyBorder="1" applyAlignment="1">
      <alignment horizontal="center"/>
    </xf>
    <xf numFmtId="0" fontId="0" fillId="3" borderId="30" xfId="0" applyFill="1" applyBorder="1" applyAlignment="1">
      <alignment horizontal="center"/>
    </xf>
    <xf numFmtId="0" fontId="0" fillId="3" borderId="0" xfId="0" applyFill="1"/>
    <xf numFmtId="0" fontId="0" fillId="0" borderId="0" xfId="0" applyAlignment="1">
      <alignment horizontal="right"/>
    </xf>
    <xf numFmtId="0" fontId="17" fillId="3" borderId="33" xfId="0" applyFont="1" applyFill="1" applyBorder="1" applyAlignment="1">
      <alignment horizontal="left" vertical="top" wrapText="1"/>
    </xf>
    <xf numFmtId="0" fontId="34" fillId="0" borderId="0" xfId="0" applyFont="1" applyFill="1" applyBorder="1" applyAlignment="1">
      <alignment horizontal="center" wrapText="1"/>
    </xf>
    <xf numFmtId="0" fontId="8" fillId="0" borderId="20" xfId="0" applyFont="1" applyBorder="1" applyAlignment="1">
      <alignment horizontal="right" vertical="top" wrapText="1"/>
    </xf>
    <xf numFmtId="0" fontId="8" fillId="2" borderId="39" xfId="0" applyFont="1" applyFill="1" applyBorder="1" applyAlignment="1">
      <alignment vertical="top" wrapText="1"/>
    </xf>
    <xf numFmtId="0" fontId="8" fillId="0" borderId="21" xfId="0" applyFont="1" applyFill="1" applyBorder="1" applyAlignment="1">
      <alignment horizontal="right" vertical="top" wrapText="1"/>
    </xf>
    <xf numFmtId="0" fontId="7" fillId="0" borderId="6" xfId="0" applyFont="1" applyBorder="1" applyAlignment="1">
      <alignment vertical="top" wrapText="1"/>
    </xf>
    <xf numFmtId="0" fontId="8" fillId="0" borderId="20" xfId="0" applyFont="1" applyFill="1" applyBorder="1" applyAlignment="1">
      <alignment horizontal="right" vertical="top" wrapText="1"/>
    </xf>
    <xf numFmtId="0" fontId="8" fillId="0" borderId="40" xfId="0" applyFont="1" applyBorder="1" applyAlignment="1">
      <alignment horizontal="right" vertical="top" wrapText="1"/>
    </xf>
    <xf numFmtId="0" fontId="8" fillId="0" borderId="41" xfId="0" applyFont="1" applyBorder="1" applyAlignment="1">
      <alignment horizontal="right" vertical="top" wrapText="1"/>
    </xf>
    <xf numFmtId="0" fontId="8" fillId="0" borderId="13" xfId="0" applyFont="1" applyBorder="1" applyAlignment="1">
      <alignment horizontal="right" vertical="top" wrapText="1"/>
    </xf>
    <xf numFmtId="0" fontId="35" fillId="0" borderId="0" xfId="0" applyFont="1"/>
    <xf numFmtId="0" fontId="35" fillId="0" borderId="0" xfId="0" applyFont="1" applyAlignment="1">
      <alignment horizontal="center"/>
    </xf>
    <xf numFmtId="0" fontId="0" fillId="0" borderId="0" xfId="0" applyBorder="1" applyAlignment="1">
      <alignment horizontal="center"/>
    </xf>
    <xf numFmtId="0" fontId="0" fillId="0" borderId="14" xfId="0" applyBorder="1" applyAlignment="1">
      <alignment horizontal="center"/>
    </xf>
    <xf numFmtId="0" fontId="36" fillId="0" borderId="12" xfId="2" applyFont="1" applyFill="1" applyBorder="1" applyAlignment="1">
      <alignment horizontal="center" textRotation="90" wrapText="1"/>
    </xf>
    <xf numFmtId="0" fontId="36" fillId="6" borderId="12" xfId="2" applyFont="1" applyFill="1" applyBorder="1" applyAlignment="1">
      <alignment horizontal="center"/>
    </xf>
    <xf numFmtId="0" fontId="15" fillId="0" borderId="0" xfId="0" applyFont="1"/>
    <xf numFmtId="0" fontId="12" fillId="2" borderId="0" xfId="0" applyFont="1" applyFill="1" applyBorder="1" applyAlignment="1">
      <alignment wrapText="1"/>
    </xf>
    <xf numFmtId="0" fontId="12" fillId="2" borderId="15" xfId="0" applyFont="1" applyFill="1" applyBorder="1" applyAlignment="1">
      <alignment wrapText="1"/>
    </xf>
    <xf numFmtId="0" fontId="12" fillId="2" borderId="16" xfId="0" applyFont="1" applyFill="1" applyBorder="1" applyAlignment="1">
      <alignment wrapText="1"/>
    </xf>
    <xf numFmtId="0" fontId="12" fillId="2" borderId="6" xfId="0" applyFont="1" applyFill="1" applyBorder="1" applyAlignment="1">
      <alignment wrapText="1"/>
    </xf>
    <xf numFmtId="0" fontId="12" fillId="2" borderId="13" xfId="0" applyFont="1" applyFill="1" applyBorder="1" applyAlignment="1">
      <alignment wrapText="1"/>
    </xf>
    <xf numFmtId="0" fontId="12" fillId="2" borderId="14" xfId="0" applyFont="1" applyFill="1" applyBorder="1" applyAlignment="1">
      <alignment wrapText="1"/>
    </xf>
    <xf numFmtId="0" fontId="0" fillId="0" borderId="16" xfId="0" applyBorder="1" applyAlignment="1">
      <alignment horizontal="center"/>
    </xf>
    <xf numFmtId="0" fontId="27" fillId="0" borderId="0" xfId="0" applyFont="1" applyBorder="1"/>
    <xf numFmtId="0" fontId="38" fillId="0" borderId="0" xfId="0" applyFont="1" applyBorder="1" applyAlignment="1">
      <alignment horizontal="center" wrapText="1"/>
    </xf>
    <xf numFmtId="0" fontId="0" fillId="0" borderId="0" xfId="0" applyFill="1" applyBorder="1" applyAlignment="1">
      <alignment horizontal="center"/>
    </xf>
    <xf numFmtId="0" fontId="0" fillId="8" borderId="16" xfId="0" applyFill="1" applyBorder="1" applyAlignment="1">
      <alignment horizontal="left"/>
    </xf>
    <xf numFmtId="0" fontId="27" fillId="8" borderId="0" xfId="0" applyFont="1" applyFill="1"/>
    <xf numFmtId="0" fontId="0" fillId="8" borderId="0" xfId="0" applyFill="1" applyBorder="1"/>
    <xf numFmtId="0" fontId="0" fillId="8" borderId="0" xfId="0" applyFill="1" applyBorder="1" applyAlignment="1">
      <alignment horizontal="left"/>
    </xf>
    <xf numFmtId="0" fontId="27" fillId="8" borderId="16" xfId="0" applyFont="1" applyFill="1" applyBorder="1"/>
    <xf numFmtId="0" fontId="38" fillId="8" borderId="0" xfId="0" applyFont="1" applyFill="1" applyBorder="1" applyAlignment="1">
      <alignment horizontal="center" wrapText="1"/>
    </xf>
    <xf numFmtId="0" fontId="0" fillId="8" borderId="0" xfId="0" applyFill="1"/>
    <xf numFmtId="0" fontId="38" fillId="9" borderId="0" xfId="0" applyFont="1" applyFill="1" applyBorder="1" applyAlignment="1">
      <alignment horizontal="center" wrapText="1"/>
    </xf>
    <xf numFmtId="0" fontId="0" fillId="9" borderId="0" xfId="0" applyFill="1" applyBorder="1"/>
    <xf numFmtId="0" fontId="27" fillId="9" borderId="16" xfId="0" applyFont="1" applyFill="1" applyBorder="1"/>
    <xf numFmtId="0" fontId="0" fillId="0" borderId="14" xfId="0" applyFill="1" applyBorder="1" applyAlignment="1">
      <alignment horizontal="center"/>
    </xf>
    <xf numFmtId="0" fontId="0" fillId="8" borderId="14" xfId="0" applyFill="1" applyBorder="1"/>
    <xf numFmtId="0" fontId="0" fillId="8" borderId="14" xfId="0" applyFill="1" applyBorder="1" applyAlignment="1">
      <alignment horizontal="center"/>
    </xf>
    <xf numFmtId="0" fontId="0" fillId="9" borderId="14" xfId="0" applyFill="1" applyBorder="1"/>
    <xf numFmtId="0" fontId="0" fillId="9" borderId="14" xfId="0" applyFill="1" applyBorder="1" applyAlignment="1">
      <alignment horizontal="center"/>
    </xf>
    <xf numFmtId="0" fontId="10" fillId="0" borderId="8" xfId="0" applyFont="1" applyBorder="1" applyAlignment="1">
      <alignment horizontal="center" wrapText="1"/>
    </xf>
    <xf numFmtId="0" fontId="10" fillId="0" borderId="3"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42" xfId="0" applyFont="1" applyBorder="1" applyAlignment="1">
      <alignment horizontal="center" wrapText="1"/>
    </xf>
    <xf numFmtId="0" fontId="10" fillId="0" borderId="1" xfId="0" applyFont="1" applyBorder="1" applyAlignment="1">
      <alignment textRotation="90" wrapText="1"/>
    </xf>
    <xf numFmtId="0" fontId="38" fillId="10" borderId="0" xfId="0" applyFont="1" applyFill="1" applyBorder="1" applyAlignment="1">
      <alignment horizontal="center" wrapText="1"/>
    </xf>
    <xf numFmtId="0" fontId="0" fillId="10" borderId="0" xfId="0" applyFill="1" applyBorder="1"/>
    <xf numFmtId="0" fontId="0" fillId="10" borderId="14" xfId="0" applyFill="1" applyBorder="1"/>
    <xf numFmtId="0" fontId="0" fillId="10" borderId="14" xfId="0" applyFill="1" applyBorder="1" applyAlignment="1">
      <alignment horizontal="center"/>
    </xf>
    <xf numFmtId="0" fontId="12" fillId="0" borderId="6" xfId="0" applyFont="1" applyFill="1" applyBorder="1" applyAlignment="1"/>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7" fillId="0" borderId="50" xfId="0" applyFont="1" applyBorder="1" applyAlignment="1">
      <alignment horizontal="center"/>
    </xf>
    <xf numFmtId="0" fontId="27" fillId="0" borderId="51" xfId="0" applyFont="1" applyBorder="1" applyAlignment="1">
      <alignment horizontal="center"/>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27" fillId="0" borderId="0" xfId="0" applyFont="1" applyAlignment="1">
      <alignment horizontal="right"/>
    </xf>
    <xf numFmtId="0" fontId="0" fillId="11" borderId="0" xfId="0" applyFill="1"/>
    <xf numFmtId="0" fontId="0" fillId="11" borderId="0" xfId="0" applyFill="1" applyBorder="1"/>
    <xf numFmtId="0" fontId="0" fillId="12" borderId="0" xfId="0" applyFill="1"/>
    <xf numFmtId="0" fontId="0" fillId="12" borderId="0" xfId="0" applyFill="1" applyBorder="1"/>
    <xf numFmtId="0" fontId="0" fillId="12" borderId="0" xfId="0" applyFill="1" applyBorder="1" applyAlignment="1">
      <alignment horizontal="center"/>
    </xf>
    <xf numFmtId="167" fontId="0" fillId="0" borderId="0" xfId="0" applyNumberFormat="1" applyBorder="1"/>
    <xf numFmtId="167" fontId="28" fillId="0" borderId="0" xfId="0" applyNumberFormat="1" applyFont="1"/>
    <xf numFmtId="167" fontId="38" fillId="0" borderId="0" xfId="0" applyNumberFormat="1" applyFont="1" applyAlignment="1">
      <alignment horizontal="center"/>
    </xf>
    <xf numFmtId="0" fontId="27" fillId="13" borderId="0" xfId="0" applyFont="1" applyFill="1" applyAlignment="1">
      <alignment horizontal="center"/>
    </xf>
    <xf numFmtId="0" fontId="0" fillId="13" borderId="0" xfId="0" applyFill="1" applyAlignment="1">
      <alignment horizontal="center"/>
    </xf>
    <xf numFmtId="0" fontId="27" fillId="13" borderId="0" xfId="0" applyFont="1" applyFill="1"/>
    <xf numFmtId="0" fontId="0" fillId="13" borderId="50" xfId="0" applyFill="1" applyBorder="1" applyAlignment="1">
      <alignment horizontal="center"/>
    </xf>
    <xf numFmtId="0" fontId="0" fillId="13" borderId="51" xfId="0" applyFill="1" applyBorder="1" applyAlignment="1">
      <alignment horizontal="center"/>
    </xf>
    <xf numFmtId="0" fontId="0" fillId="13" borderId="44" xfId="0" applyFill="1" applyBorder="1" applyAlignment="1">
      <alignment horizontal="center"/>
    </xf>
    <xf numFmtId="0" fontId="0" fillId="12" borderId="29" xfId="0" applyFill="1" applyBorder="1" applyAlignment="1">
      <alignment horizontal="center"/>
    </xf>
    <xf numFmtId="0" fontId="0" fillId="11" borderId="0" xfId="0" applyFill="1" applyAlignment="1">
      <alignment horizontal="center"/>
    </xf>
    <xf numFmtId="0" fontId="0" fillId="11" borderId="29" xfId="0" applyFill="1" applyBorder="1" applyAlignment="1">
      <alignment horizontal="center"/>
    </xf>
    <xf numFmtId="1" fontId="16" fillId="12" borderId="0" xfId="0" applyNumberFormat="1" applyFont="1" applyFill="1"/>
    <xf numFmtId="1" fontId="15" fillId="11" borderId="0" xfId="0" applyNumberFormat="1" applyFont="1" applyFill="1"/>
    <xf numFmtId="0" fontId="0" fillId="14" borderId="0" xfId="0" applyFill="1" applyAlignment="1">
      <alignment horizontal="center"/>
    </xf>
    <xf numFmtId="0" fontId="0" fillId="15" borderId="0" xfId="0" applyFill="1"/>
    <xf numFmtId="0" fontId="0" fillId="16" borderId="0" xfId="0" applyFill="1"/>
    <xf numFmtId="0" fontId="0" fillId="17" borderId="0" xfId="0" applyFill="1"/>
    <xf numFmtId="14" fontId="0" fillId="0" borderId="0" xfId="0" applyNumberFormat="1"/>
    <xf numFmtId="1" fontId="0" fillId="0" borderId="0" xfId="0" applyNumberFormat="1" applyBorder="1" applyAlignment="1">
      <alignment horizontal="center"/>
    </xf>
    <xf numFmtId="166" fontId="0" fillId="12" borderId="0" xfId="0" applyNumberFormat="1" applyFill="1"/>
    <xf numFmtId="0" fontId="0" fillId="12" borderId="0" xfId="0" applyFill="1" applyAlignment="1"/>
    <xf numFmtId="0" fontId="8" fillId="12" borderId="3" xfId="0" applyFont="1" applyFill="1" applyBorder="1" applyAlignment="1">
      <alignment horizontal="center" wrapText="1"/>
    </xf>
    <xf numFmtId="0" fontId="0" fillId="16" borderId="0" xfId="0" applyFill="1" applyAlignment="1"/>
    <xf numFmtId="0" fontId="0" fillId="14" borderId="0" xfId="0" applyFill="1" applyAlignment="1">
      <alignment horizontal="center" wrapText="1"/>
    </xf>
    <xf numFmtId="0" fontId="27" fillId="14" borderId="0" xfId="0" applyFont="1" applyFill="1" applyAlignment="1">
      <alignment horizontal="center"/>
    </xf>
    <xf numFmtId="0" fontId="0" fillId="14" borderId="0" xfId="0" applyFont="1" applyFill="1" applyAlignment="1">
      <alignment horizontal="center"/>
    </xf>
    <xf numFmtId="0" fontId="0" fillId="14" borderId="0" xfId="0" applyFont="1" applyFill="1" applyBorder="1" applyAlignment="1">
      <alignment horizontal="center"/>
    </xf>
    <xf numFmtId="0" fontId="8" fillId="0" borderId="52" xfId="0" applyFont="1" applyFill="1" applyBorder="1" applyAlignment="1">
      <alignment horizontal="center" wrapText="1"/>
    </xf>
    <xf numFmtId="166" fontId="27" fillId="0" borderId="52" xfId="0" applyNumberFormat="1" applyFont="1" applyBorder="1"/>
    <xf numFmtId="0" fontId="0" fillId="12" borderId="52" xfId="0" applyFill="1" applyBorder="1"/>
    <xf numFmtId="0" fontId="8" fillId="12" borderId="53" xfId="0" applyFont="1" applyFill="1" applyBorder="1" applyAlignment="1">
      <alignment horizontal="center" wrapText="1"/>
    </xf>
    <xf numFmtId="0" fontId="8" fillId="0" borderId="52" xfId="0" applyFont="1" applyBorder="1" applyAlignment="1">
      <alignment horizontal="center" wrapText="1"/>
    </xf>
    <xf numFmtId="0" fontId="0" fillId="0" borderId="52" xfId="0" applyBorder="1"/>
    <xf numFmtId="0" fontId="27" fillId="0" borderId="52" xfId="0" applyFont="1" applyBorder="1"/>
    <xf numFmtId="0" fontId="15" fillId="0" borderId="50" xfId="0" applyFont="1" applyBorder="1"/>
    <xf numFmtId="0" fontId="0" fillId="0" borderId="51" xfId="0" applyBorder="1"/>
    <xf numFmtId="0" fontId="0" fillId="0" borderId="44" xfId="0" applyBorder="1"/>
    <xf numFmtId="0" fontId="27" fillId="0" borderId="45" xfId="0" applyFont="1" applyBorder="1" applyAlignment="1">
      <alignment horizontal="center"/>
    </xf>
    <xf numFmtId="0" fontId="0" fillId="12" borderId="46" xfId="0" applyFill="1" applyBorder="1"/>
    <xf numFmtId="0" fontId="0" fillId="0" borderId="54" xfId="0" applyFill="1" applyBorder="1" applyAlignment="1">
      <alignment horizontal="center"/>
    </xf>
    <xf numFmtId="0" fontId="0" fillId="12" borderId="49" xfId="0" applyFill="1" applyBorder="1"/>
    <xf numFmtId="0" fontId="0" fillId="11" borderId="0" xfId="0" applyFill="1" applyBorder="1" applyAlignment="1">
      <alignment horizontal="center"/>
    </xf>
    <xf numFmtId="0" fontId="0" fillId="11" borderId="46" xfId="0" applyFill="1" applyBorder="1"/>
    <xf numFmtId="0" fontId="0" fillId="11" borderId="54" xfId="0" applyFill="1" applyBorder="1" applyAlignment="1">
      <alignment horizontal="center"/>
    </xf>
    <xf numFmtId="0" fontId="0" fillId="11" borderId="49" xfId="0" applyFill="1" applyBorder="1"/>
    <xf numFmtId="1" fontId="38" fillId="0" borderId="0" xfId="0" applyNumberFormat="1" applyFont="1" applyAlignment="1">
      <alignment horizontal="center"/>
    </xf>
    <xf numFmtId="1" fontId="28" fillId="0" borderId="0" xfId="0" applyNumberFormat="1" applyFont="1"/>
    <xf numFmtId="0" fontId="12" fillId="0" borderId="22" xfId="0" applyFont="1" applyBorder="1" applyAlignment="1">
      <alignment wrapText="1"/>
    </xf>
    <xf numFmtId="0" fontId="12" fillId="0" borderId="23" xfId="0" applyFont="1" applyBorder="1" applyAlignment="1">
      <alignment wrapText="1"/>
    </xf>
    <xf numFmtId="0" fontId="12" fillId="0" borderId="23" xfId="0" applyFont="1" applyBorder="1" applyAlignment="1">
      <alignment horizontal="center" wrapText="1"/>
    </xf>
    <xf numFmtId="167" fontId="12" fillId="0" borderId="23" xfId="0" applyNumberFormat="1" applyFont="1" applyBorder="1" applyAlignment="1">
      <alignment horizontal="center" wrapText="1"/>
    </xf>
    <xf numFmtId="167" fontId="12" fillId="0" borderId="35" xfId="0" applyNumberFormat="1" applyFont="1" applyBorder="1" applyAlignment="1">
      <alignment horizontal="center" wrapText="1"/>
    </xf>
    <xf numFmtId="0" fontId="12" fillId="0" borderId="24" xfId="0" applyFont="1" applyBorder="1" applyAlignment="1">
      <alignment wrapText="1"/>
    </xf>
    <xf numFmtId="167" fontId="12" fillId="0" borderId="36" xfId="0" applyNumberFormat="1" applyFont="1" applyBorder="1" applyAlignment="1">
      <alignment horizontal="center" wrapText="1"/>
    </xf>
    <xf numFmtId="0" fontId="12" fillId="0" borderId="25" xfId="0" applyFont="1" applyBorder="1" applyAlignment="1">
      <alignment wrapText="1"/>
    </xf>
    <xf numFmtId="0" fontId="12" fillId="0" borderId="26" xfId="0" applyFont="1" applyBorder="1" applyAlignment="1">
      <alignment wrapText="1"/>
    </xf>
    <xf numFmtId="165" fontId="12" fillId="0" borderId="26" xfId="0" applyNumberFormat="1" applyFont="1" applyBorder="1" applyAlignment="1">
      <alignment wrapText="1"/>
    </xf>
    <xf numFmtId="0" fontId="12" fillId="0" borderId="26" xfId="0" applyFont="1" applyBorder="1" applyAlignment="1">
      <alignment horizontal="center" wrapText="1"/>
    </xf>
    <xf numFmtId="167" fontId="12" fillId="0" borderId="26" xfId="0" applyNumberFormat="1" applyFont="1" applyBorder="1" applyAlignment="1">
      <alignment horizontal="center" wrapText="1"/>
    </xf>
    <xf numFmtId="167" fontId="12" fillId="0" borderId="37" xfId="0" applyNumberFormat="1" applyFont="1" applyBorder="1" applyAlignment="1">
      <alignment horizontal="center" wrapText="1"/>
    </xf>
    <xf numFmtId="0" fontId="0" fillId="0" borderId="38" xfId="0" applyBorder="1"/>
    <xf numFmtId="0" fontId="0" fillId="0" borderId="28" xfId="0" applyBorder="1"/>
    <xf numFmtId="167" fontId="0" fillId="0" borderId="28" xfId="0" applyNumberFormat="1" applyBorder="1"/>
    <xf numFmtId="0" fontId="8" fillId="4" borderId="20" xfId="0" applyFont="1" applyFill="1" applyBorder="1" applyAlignment="1">
      <alignment vertical="top" wrapText="1"/>
    </xf>
    <xf numFmtId="0" fontId="7" fillId="0" borderId="15" xfId="0" applyFont="1" applyBorder="1" applyAlignment="1">
      <alignment vertical="top" wrapText="1"/>
    </xf>
    <xf numFmtId="0" fontId="47" fillId="0" borderId="0" xfId="0" applyFont="1"/>
    <xf numFmtId="0" fontId="47" fillId="0" borderId="0" xfId="0" applyFont="1" applyAlignment="1"/>
    <xf numFmtId="1" fontId="47" fillId="0" borderId="0" xfId="0" applyNumberFormat="1" applyFont="1"/>
    <xf numFmtId="0" fontId="48" fillId="0" borderId="0" xfId="0" applyFont="1"/>
    <xf numFmtId="165" fontId="47" fillId="0" borderId="0" xfId="0" applyNumberFormat="1" applyFont="1" applyAlignment="1">
      <alignment horizontal="center"/>
    </xf>
    <xf numFmtId="0" fontId="47" fillId="0" borderId="15" xfId="0" applyFont="1" applyBorder="1"/>
    <xf numFmtId="0" fontId="48" fillId="0" borderId="6" xfId="0" applyFont="1" applyBorder="1"/>
    <xf numFmtId="0" fontId="47" fillId="0" borderId="6" xfId="0" applyFont="1" applyBorder="1"/>
    <xf numFmtId="0" fontId="47" fillId="0" borderId="13" xfId="0" applyFont="1" applyBorder="1"/>
    <xf numFmtId="0" fontId="0" fillId="0" borderId="0" xfId="0" applyAlignment="1">
      <alignment vertical="center" wrapText="1"/>
    </xf>
    <xf numFmtId="0" fontId="15" fillId="0" borderId="0" xfId="0" applyFont="1" applyAlignment="1">
      <alignment vertical="center"/>
    </xf>
    <xf numFmtId="0" fontId="26" fillId="0" borderId="52" xfId="0" applyFont="1" applyBorder="1"/>
    <xf numFmtId="167" fontId="12" fillId="13" borderId="4" xfId="0" applyNumberFormat="1" applyFont="1" applyFill="1" applyBorder="1" applyAlignment="1">
      <alignment horizontal="center" wrapText="1"/>
    </xf>
    <xf numFmtId="167" fontId="12" fillId="13" borderId="2" xfId="0" applyNumberFormat="1" applyFont="1" applyFill="1" applyBorder="1" applyAlignment="1">
      <alignment horizontal="center" wrapText="1"/>
    </xf>
    <xf numFmtId="0" fontId="26" fillId="0" borderId="0" xfId="0" applyFont="1"/>
    <xf numFmtId="0" fontId="12" fillId="2" borderId="57" xfId="0" applyFont="1" applyFill="1" applyBorder="1" applyAlignment="1">
      <alignment horizontal="center" wrapText="1"/>
    </xf>
    <xf numFmtId="8" fontId="12" fillId="0" borderId="2" xfId="0" applyNumberFormat="1" applyFont="1" applyBorder="1" applyAlignment="1">
      <alignment horizontal="center" wrapText="1"/>
    </xf>
    <xf numFmtId="0" fontId="8" fillId="0" borderId="28" xfId="0" applyFont="1" applyBorder="1" applyAlignment="1">
      <alignment vertical="top" wrapText="1"/>
    </xf>
    <xf numFmtId="0" fontId="26" fillId="0" borderId="52" xfId="0" applyFont="1" applyBorder="1" applyAlignment="1">
      <alignment horizontal="center"/>
    </xf>
    <xf numFmtId="0" fontId="26" fillId="16" borderId="0" xfId="0" applyFont="1" applyFill="1" applyAlignment="1"/>
    <xf numFmtId="0" fontId="26" fillId="16" borderId="0" xfId="0" applyFont="1" applyFill="1"/>
    <xf numFmtId="165" fontId="12" fillId="0" borderId="58" xfId="0" applyNumberFormat="1" applyFont="1" applyBorder="1" applyAlignment="1">
      <alignment wrapText="1"/>
    </xf>
    <xf numFmtId="165" fontId="12" fillId="0" borderId="33" xfId="0" applyNumberFormat="1" applyFont="1" applyBorder="1" applyAlignment="1">
      <alignment wrapText="1"/>
    </xf>
    <xf numFmtId="1" fontId="0" fillId="3" borderId="0" xfId="0" applyNumberFormat="1" applyFill="1" applyBorder="1" applyAlignment="1">
      <alignment horizontal="center"/>
    </xf>
    <xf numFmtId="0" fontId="0" fillId="16" borderId="0" xfId="0" applyFill="1" applyAlignment="1">
      <alignment horizontal="center"/>
    </xf>
    <xf numFmtId="165" fontId="45" fillId="16" borderId="0" xfId="0" applyNumberFormat="1" applyFont="1" applyFill="1" applyBorder="1" applyAlignment="1">
      <alignment horizontal="center" wrapText="1"/>
    </xf>
    <xf numFmtId="0" fontId="15" fillId="0" borderId="0" xfId="0" applyFont="1" applyAlignment="1">
      <alignment horizontal="center" vertical="center"/>
    </xf>
    <xf numFmtId="0" fontId="0" fillId="0" borderId="0" xfId="0" applyAlignment="1">
      <alignment horizontal="center" vertical="center"/>
    </xf>
    <xf numFmtId="0" fontId="0" fillId="0" borderId="19" xfId="0" applyFill="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12" borderId="44" xfId="0" applyFill="1" applyBorder="1" applyAlignment="1">
      <alignment horizontal="center"/>
    </xf>
    <xf numFmtId="0" fontId="0" fillId="12" borderId="46" xfId="0" applyFill="1" applyBorder="1" applyAlignment="1">
      <alignment horizontal="center"/>
    </xf>
    <xf numFmtId="0" fontId="0" fillId="12" borderId="49" xfId="0" applyFill="1" applyBorder="1" applyAlignment="1">
      <alignment horizontal="center"/>
    </xf>
    <xf numFmtId="0" fontId="26" fillId="0" borderId="0" xfId="0" quotePrefix="1" applyFont="1"/>
    <xf numFmtId="0" fontId="0" fillId="18" borderId="50" xfId="0" applyFill="1" applyBorder="1" applyAlignment="1">
      <alignment horizontal="center"/>
    </xf>
    <xf numFmtId="0" fontId="0" fillId="18" borderId="51" xfId="0" applyFill="1" applyBorder="1" applyAlignment="1">
      <alignment horizontal="center"/>
    </xf>
    <xf numFmtId="0" fontId="0" fillId="18" borderId="44" xfId="0" applyFill="1" applyBorder="1" applyAlignment="1">
      <alignment horizontal="center"/>
    </xf>
    <xf numFmtId="0" fontId="0" fillId="18" borderId="0" xfId="0" applyFont="1" applyFill="1" applyBorder="1" applyAlignment="1">
      <alignment horizontal="center"/>
    </xf>
    <xf numFmtId="0" fontId="27" fillId="18" borderId="0" xfId="0" applyFont="1" applyFill="1"/>
    <xf numFmtId="0" fontId="27" fillId="18" borderId="50" xfId="0" applyFont="1" applyFill="1" applyBorder="1" applyAlignment="1">
      <alignment horizontal="left"/>
    </xf>
    <xf numFmtId="0" fontId="27" fillId="18" borderId="51" xfId="0" applyFont="1" applyFill="1" applyBorder="1" applyAlignment="1">
      <alignment horizontal="left"/>
    </xf>
    <xf numFmtId="0" fontId="0" fillId="18" borderId="44" xfId="0" applyFill="1" applyBorder="1" applyAlignment="1">
      <alignment horizontal="left"/>
    </xf>
    <xf numFmtId="0" fontId="27" fillId="18" borderId="0" xfId="0" applyFont="1" applyFill="1" applyBorder="1" applyAlignment="1">
      <alignment horizontal="left"/>
    </xf>
    <xf numFmtId="0" fontId="26" fillId="19" borderId="0" xfId="0" applyFont="1" applyFill="1"/>
    <xf numFmtId="0" fontId="0" fillId="19" borderId="0" xfId="0" applyFill="1"/>
    <xf numFmtId="0" fontId="49" fillId="0" borderId="6" xfId="0" applyFont="1" applyBorder="1" applyAlignment="1">
      <alignment horizontal="center"/>
    </xf>
    <xf numFmtId="0" fontId="18" fillId="0" borderId="16" xfId="0" applyFont="1" applyBorder="1" applyAlignment="1">
      <alignment vertical="top" wrapText="1"/>
    </xf>
    <xf numFmtId="0" fontId="25" fillId="7" borderId="16" xfId="0" applyFont="1" applyFill="1" applyBorder="1" applyAlignment="1">
      <alignment horizontal="left" vertical="top" wrapText="1"/>
    </xf>
    <xf numFmtId="167" fontId="0" fillId="0" borderId="17" xfId="0" applyNumberFormat="1" applyBorder="1"/>
    <xf numFmtId="0" fontId="0" fillId="20" borderId="6" xfId="0" applyFill="1" applyBorder="1"/>
    <xf numFmtId="0" fontId="0" fillId="20" borderId="0" xfId="0" applyFill="1" applyBorder="1" applyAlignment="1">
      <alignment horizontal="center"/>
    </xf>
    <xf numFmtId="0" fontId="0" fillId="20" borderId="0" xfId="0" applyFill="1" applyBorder="1"/>
    <xf numFmtId="167" fontId="0" fillId="0" borderId="2" xfId="0" applyNumberFormat="1" applyBorder="1"/>
    <xf numFmtId="0" fontId="15" fillId="0" borderId="14" xfId="0" applyFont="1" applyBorder="1" applyAlignment="1">
      <alignment horizontal="right"/>
    </xf>
    <xf numFmtId="0" fontId="26" fillId="0" borderId="14" xfId="0" applyFont="1" applyBorder="1" applyAlignment="1">
      <alignment horizontal="right"/>
    </xf>
    <xf numFmtId="0" fontId="40" fillId="0" borderId="59" xfId="2" applyFont="1" applyFill="1" applyBorder="1" applyAlignment="1">
      <alignment horizontal="center" textRotation="90" wrapText="1"/>
    </xf>
    <xf numFmtId="0" fontId="15" fillId="0" borderId="6" xfId="0" applyFont="1" applyBorder="1"/>
    <xf numFmtId="8" fontId="0" fillId="13" borderId="0" xfId="0" applyNumberFormat="1" applyFill="1" applyBorder="1"/>
    <xf numFmtId="0" fontId="0" fillId="0" borderId="0" xfId="0" quotePrefix="1" applyBorder="1" applyAlignment="1">
      <alignment horizontal="center"/>
    </xf>
    <xf numFmtId="0" fontId="15" fillId="0" borderId="13" xfId="0" applyFont="1" applyBorder="1"/>
    <xf numFmtId="1" fontId="0" fillId="0" borderId="14" xfId="0" applyNumberFormat="1" applyBorder="1" applyAlignment="1">
      <alignment horizontal="center"/>
    </xf>
    <xf numFmtId="8" fontId="0" fillId="13" borderId="14" xfId="0" applyNumberFormat="1" applyFill="1" applyBorder="1"/>
    <xf numFmtId="0" fontId="0" fillId="0" borderId="14" xfId="0" quotePrefix="1" applyBorder="1" applyAlignment="1">
      <alignment horizontal="center"/>
    </xf>
    <xf numFmtId="167" fontId="28" fillId="13" borderId="29" xfId="0" applyNumberFormat="1" applyFont="1" applyFill="1" applyBorder="1"/>
    <xf numFmtId="167" fontId="50" fillId="0" borderId="0" xfId="0" applyNumberFormat="1" applyFont="1" applyAlignment="1">
      <alignment horizontal="center"/>
    </xf>
    <xf numFmtId="0" fontId="8" fillId="4" borderId="30" xfId="0" applyFont="1" applyFill="1" applyBorder="1" applyAlignment="1">
      <alignment vertical="top" wrapText="1"/>
    </xf>
    <xf numFmtId="1" fontId="0" fillId="21" borderId="14" xfId="0" applyNumberFormat="1" applyFill="1" applyBorder="1" applyAlignment="1">
      <alignment vertical="top" wrapText="1"/>
    </xf>
    <xf numFmtId="0" fontId="8" fillId="0" borderId="6" xfId="0" applyFont="1" applyBorder="1" applyAlignment="1">
      <alignment horizontal="right" vertical="top" wrapText="1"/>
    </xf>
    <xf numFmtId="0" fontId="35" fillId="0" borderId="0" xfId="0" applyFont="1" applyBorder="1"/>
    <xf numFmtId="0" fontId="35" fillId="0" borderId="0" xfId="0" applyFont="1" applyBorder="1" applyAlignment="1">
      <alignment horizontal="center"/>
    </xf>
    <xf numFmtId="0" fontId="15" fillId="0" borderId="0" xfId="0" applyFont="1" applyBorder="1"/>
    <xf numFmtId="0" fontId="40" fillId="0" borderId="27" xfId="2" applyFont="1" applyFill="1" applyBorder="1" applyAlignment="1">
      <alignment horizontal="center" vertical="center" textRotation="90" wrapText="1"/>
    </xf>
    <xf numFmtId="0" fontId="0" fillId="0" borderId="2" xfId="0" applyBorder="1" applyAlignment="1">
      <alignment horizontal="center" vertical="center"/>
    </xf>
    <xf numFmtId="0" fontId="0" fillId="0" borderId="18" xfId="0" applyBorder="1" applyAlignment="1">
      <alignment horizontal="center" vertical="center"/>
    </xf>
    <xf numFmtId="167" fontId="0" fillId="0" borderId="2" xfId="0" applyNumberFormat="1" applyBorder="1" applyAlignment="1">
      <alignment horizontal="right"/>
    </xf>
    <xf numFmtId="167" fontId="0" fillId="0" borderId="30" xfId="0" applyNumberFormat="1" applyBorder="1" applyAlignment="1">
      <alignment horizontal="right"/>
    </xf>
    <xf numFmtId="0" fontId="0" fillId="0" borderId="0" xfId="0" applyAlignment="1"/>
    <xf numFmtId="0" fontId="0" fillId="15" borderId="65" xfId="0" applyFill="1" applyBorder="1"/>
    <xf numFmtId="0" fontId="15" fillId="3" borderId="43" xfId="0" applyFont="1" applyFill="1" applyBorder="1"/>
    <xf numFmtId="0" fontId="0" fillId="0" borderId="43" xfId="0" applyBorder="1"/>
    <xf numFmtId="0" fontId="0" fillId="3" borderId="43" xfId="0" applyFill="1" applyBorder="1"/>
    <xf numFmtId="0" fontId="0" fillId="3" borderId="72" xfId="0" applyFill="1" applyBorder="1"/>
    <xf numFmtId="1" fontId="26" fillId="3" borderId="17" xfId="0" applyNumberFormat="1" applyFont="1" applyFill="1" applyBorder="1" applyAlignment="1">
      <alignment horizontal="center"/>
    </xf>
    <xf numFmtId="0" fontId="26" fillId="13" borderId="0" xfId="0" applyFont="1" applyFill="1"/>
    <xf numFmtId="0" fontId="0" fillId="13" borderId="0" xfId="0" applyFill="1"/>
    <xf numFmtId="0" fontId="53" fillId="0" borderId="0" xfId="0" applyFont="1"/>
    <xf numFmtId="165" fontId="17" fillId="5" borderId="29" xfId="0" applyNumberFormat="1" applyFont="1" applyFill="1" applyBorder="1" applyAlignment="1">
      <alignment horizontal="center" wrapText="1"/>
    </xf>
    <xf numFmtId="1" fontId="0" fillId="3" borderId="16" xfId="0" applyNumberFormat="1" applyFill="1" applyBorder="1" applyAlignment="1">
      <alignment horizontal="center"/>
    </xf>
    <xf numFmtId="0" fontId="0" fillId="0" borderId="0" xfId="0" applyFill="1"/>
    <xf numFmtId="0" fontId="0" fillId="0" borderId="0" xfId="0" applyFill="1" applyAlignment="1">
      <alignment horizontal="center"/>
    </xf>
    <xf numFmtId="1" fontId="26" fillId="0" borderId="0" xfId="0" applyNumberFormat="1" applyFont="1" applyFill="1" applyBorder="1" applyAlignment="1">
      <alignment horizontal="center"/>
    </xf>
    <xf numFmtId="0" fontId="26" fillId="0" borderId="0" xfId="0" applyFont="1" applyFill="1"/>
    <xf numFmtId="0" fontId="27" fillId="0" borderId="0" xfId="0" applyFont="1" applyFill="1"/>
    <xf numFmtId="165" fontId="45" fillId="14" borderId="0" xfId="0" applyNumberFormat="1" applyFont="1" applyFill="1" applyBorder="1" applyAlignment="1">
      <alignment horizontal="center" wrapText="1"/>
    </xf>
    <xf numFmtId="0" fontId="26" fillId="14" borderId="0" xfId="0" applyFont="1" applyFill="1"/>
    <xf numFmtId="1" fontId="0" fillId="14" borderId="0" xfId="0" applyNumberFormat="1" applyFill="1" applyBorder="1" applyAlignment="1">
      <alignment horizontal="center"/>
    </xf>
    <xf numFmtId="0" fontId="0" fillId="15" borderId="0" xfId="0" applyFill="1" applyBorder="1"/>
    <xf numFmtId="0" fontId="0" fillId="0" borderId="52" xfId="0" applyFill="1" applyBorder="1" applyAlignment="1">
      <alignment horizontal="center"/>
    </xf>
    <xf numFmtId="0" fontId="0" fillId="0" borderId="52" xfId="0" applyFill="1" applyBorder="1"/>
    <xf numFmtId="1" fontId="0" fillId="0" borderId="0" xfId="0" applyNumberFormat="1" applyFill="1" applyAlignment="1">
      <alignment horizontal="center"/>
    </xf>
    <xf numFmtId="0" fontId="26" fillId="11" borderId="0" xfId="0" applyFont="1" applyFill="1" applyBorder="1"/>
    <xf numFmtId="169" fontId="37" fillId="0" borderId="12" xfId="2" applyNumberFormat="1" applyFont="1" applyFill="1" applyBorder="1" applyAlignment="1">
      <alignment horizontal="left"/>
    </xf>
    <xf numFmtId="165" fontId="12" fillId="0" borderId="12" xfId="0" applyNumberFormat="1" applyFont="1" applyFill="1" applyBorder="1" applyAlignment="1">
      <alignment wrapText="1"/>
    </xf>
    <xf numFmtId="168" fontId="12" fillId="0" borderId="12" xfId="0" applyNumberFormat="1" applyFont="1" applyFill="1" applyBorder="1" applyAlignment="1">
      <alignment wrapText="1"/>
    </xf>
    <xf numFmtId="0" fontId="12" fillId="0" borderId="73" xfId="0" applyFont="1" applyBorder="1" applyAlignment="1">
      <alignment horizontal="center" wrapText="1"/>
    </xf>
    <xf numFmtId="0" fontId="12" fillId="2" borderId="45" xfId="0" applyFont="1" applyFill="1" applyBorder="1" applyAlignment="1">
      <alignment horizontal="center" wrapText="1"/>
    </xf>
    <xf numFmtId="0" fontId="12" fillId="2" borderId="72" xfId="0" applyFont="1" applyFill="1" applyBorder="1" applyAlignment="1">
      <alignment horizontal="center" wrapText="1"/>
    </xf>
    <xf numFmtId="0" fontId="12" fillId="2" borderId="49" xfId="0" applyFont="1" applyFill="1" applyBorder="1" applyAlignment="1">
      <alignment horizontal="center" wrapText="1"/>
    </xf>
    <xf numFmtId="0" fontId="0" fillId="0" borderId="77" xfId="0" applyBorder="1" applyAlignment="1">
      <alignment horizontal="center" vertical="center"/>
    </xf>
    <xf numFmtId="0" fontId="0" fillId="0" borderId="4" xfId="0" applyBorder="1"/>
    <xf numFmtId="0" fontId="0" fillId="0" borderId="19" xfId="0" applyBorder="1"/>
    <xf numFmtId="167" fontId="17" fillId="3" borderId="78" xfId="0" applyNumberFormat="1" applyFont="1" applyFill="1" applyBorder="1" applyAlignment="1">
      <alignment horizontal="center" vertical="top" wrapText="1"/>
    </xf>
    <xf numFmtId="8" fontId="17" fillId="3" borderId="78" xfId="0" applyNumberFormat="1" applyFont="1" applyFill="1" applyBorder="1" applyAlignment="1">
      <alignment horizontal="center" vertical="top" wrapText="1"/>
    </xf>
    <xf numFmtId="167" fontId="17" fillId="3" borderId="79" xfId="0" applyNumberFormat="1" applyFont="1" applyFill="1" applyBorder="1" applyAlignment="1">
      <alignment horizontal="center" vertical="top" wrapText="1"/>
    </xf>
    <xf numFmtId="0" fontId="39" fillId="0" borderId="33" xfId="0" applyFont="1" applyFill="1" applyBorder="1" applyAlignment="1">
      <alignment vertical="center" wrapText="1"/>
    </xf>
    <xf numFmtId="0" fontId="8" fillId="22" borderId="80" xfId="0" applyFont="1" applyFill="1" applyBorder="1" applyAlignment="1">
      <alignment vertical="top" wrapText="1"/>
    </xf>
    <xf numFmtId="0" fontId="0" fillId="22" borderId="80" xfId="0" applyFill="1" applyBorder="1"/>
    <xf numFmtId="0" fontId="0" fillId="22" borderId="81" xfId="0" applyFill="1" applyBorder="1"/>
    <xf numFmtId="0" fontId="28" fillId="0" borderId="0" xfId="0" applyFont="1" applyAlignment="1">
      <alignment horizontal="center" vertical="top"/>
    </xf>
    <xf numFmtId="0" fontId="0" fillId="0" borderId="0" xfId="0" applyAlignment="1">
      <alignment vertical="top"/>
    </xf>
    <xf numFmtId="0" fontId="29" fillId="0" borderId="0" xfId="0" applyFont="1" applyAlignment="1">
      <alignment vertical="top" wrapText="1"/>
    </xf>
    <xf numFmtId="8" fontId="0" fillId="0" borderId="55" xfId="0" applyNumberFormat="1" applyBorder="1"/>
    <xf numFmtId="8" fontId="0" fillId="0" borderId="7" xfId="0" applyNumberFormat="1" applyBorder="1"/>
    <xf numFmtId="8" fontId="0" fillId="0" borderId="56" xfId="0" applyNumberFormat="1" applyBorder="1"/>
    <xf numFmtId="8" fontId="0" fillId="0" borderId="0" xfId="0" applyNumberFormat="1" applyBorder="1"/>
    <xf numFmtId="8" fontId="15" fillId="0" borderId="14" xfId="0" applyNumberFormat="1" applyFont="1" applyBorder="1"/>
    <xf numFmtId="0" fontId="39" fillId="2" borderId="33" xfId="0" applyFont="1" applyFill="1" applyBorder="1" applyAlignment="1">
      <alignment horizontal="center" vertical="center" wrapText="1"/>
    </xf>
    <xf numFmtId="0" fontId="12" fillId="0" borderId="3" xfId="0" applyFont="1" applyBorder="1" applyAlignment="1">
      <alignment horizontal="center" wrapText="1"/>
    </xf>
    <xf numFmtId="0" fontId="31" fillId="16" borderId="0" xfId="0" applyFont="1" applyFill="1"/>
    <xf numFmtId="0" fontId="31" fillId="0" borderId="0" xfId="0" applyFont="1" applyAlignment="1">
      <alignment horizontal="center"/>
    </xf>
    <xf numFmtId="165" fontId="45" fillId="13" borderId="0" xfId="0" applyNumberFormat="1" applyFont="1" applyFill="1" applyBorder="1" applyAlignment="1">
      <alignment horizontal="center" wrapText="1"/>
    </xf>
    <xf numFmtId="1" fontId="0" fillId="13" borderId="0" xfId="0" applyNumberFormat="1" applyFill="1" applyBorder="1" applyAlignment="1">
      <alignment horizontal="center"/>
    </xf>
    <xf numFmtId="0" fontId="26" fillId="16" borderId="0" xfId="0" applyFont="1" applyFill="1" applyAlignment="1">
      <alignment horizontal="left"/>
    </xf>
    <xf numFmtId="0" fontId="29" fillId="13" borderId="0" xfId="0" applyFont="1" applyFill="1" applyAlignment="1">
      <alignment horizontal="left"/>
    </xf>
    <xf numFmtId="0" fontId="29" fillId="13" borderId="0" xfId="0" applyFont="1" applyFill="1"/>
    <xf numFmtId="0" fontId="6" fillId="0" borderId="2" xfId="0" applyFont="1" applyBorder="1" applyAlignment="1">
      <alignment horizontal="center" wrapText="1"/>
    </xf>
    <xf numFmtId="0" fontId="0" fillId="0" borderId="0" xfId="0" applyBorder="1" applyAlignment="1"/>
    <xf numFmtId="0" fontId="0" fillId="0" borderId="0" xfId="0" applyAlignment="1"/>
    <xf numFmtId="0" fontId="0" fillId="0" borderId="2" xfId="0" applyBorder="1" applyAlignment="1">
      <alignment horizontal="center" wrapText="1"/>
    </xf>
    <xf numFmtId="0" fontId="10" fillId="0" borderId="2" xfId="0" applyFont="1" applyBorder="1" applyAlignment="1">
      <alignment horizontal="center" wrapText="1"/>
    </xf>
    <xf numFmtId="0" fontId="0" fillId="0" borderId="2" xfId="0" applyBorder="1" applyAlignment="1"/>
    <xf numFmtId="0" fontId="29" fillId="0" borderId="0" xfId="0" applyFont="1" applyAlignment="1">
      <alignment wrapText="1"/>
    </xf>
    <xf numFmtId="0" fontId="5" fillId="0" borderId="0" xfId="0" applyFont="1" applyBorder="1" applyAlignment="1">
      <alignment horizontal="center"/>
    </xf>
    <xf numFmtId="0" fontId="12" fillId="2" borderId="48" xfId="0" applyFont="1" applyFill="1" applyBorder="1" applyAlignment="1">
      <alignment horizontal="center" wrapText="1"/>
    </xf>
    <xf numFmtId="0" fontId="12" fillId="2" borderId="39" xfId="0" applyFont="1" applyFill="1" applyBorder="1" applyAlignment="1">
      <alignment horizontal="center" wrapText="1"/>
    </xf>
    <xf numFmtId="0" fontId="12" fillId="2" borderId="64" xfId="0" applyFont="1" applyFill="1" applyBorder="1" applyAlignment="1">
      <alignment horizontal="center" wrapText="1"/>
    </xf>
    <xf numFmtId="0" fontId="0" fillId="3" borderId="0" xfId="0" applyFill="1" applyBorder="1" applyAlignment="1">
      <alignment horizontal="center"/>
    </xf>
    <xf numFmtId="0" fontId="12" fillId="2" borderId="47" xfId="0" applyFont="1" applyFill="1" applyBorder="1" applyAlignment="1">
      <alignment horizontal="center" wrapText="1"/>
    </xf>
    <xf numFmtId="0" fontId="12" fillId="24" borderId="23" xfId="0" applyFont="1" applyFill="1" applyBorder="1" applyAlignment="1">
      <alignment horizontal="center" wrapText="1"/>
    </xf>
    <xf numFmtId="0" fontId="12" fillId="24" borderId="12" xfId="0" applyFont="1" applyFill="1" applyBorder="1" applyAlignment="1">
      <alignment horizontal="center" wrapText="1"/>
    </xf>
    <xf numFmtId="0" fontId="12" fillId="24" borderId="26" xfId="0" applyFont="1" applyFill="1" applyBorder="1" applyAlignment="1">
      <alignment horizontal="center" wrapText="1"/>
    </xf>
    <xf numFmtId="0" fontId="26" fillId="0" borderId="0" xfId="0" applyFont="1" applyBorder="1"/>
    <xf numFmtId="0" fontId="26" fillId="0" borderId="0" xfId="0" applyFont="1" applyAlignment="1">
      <alignment horizontal="center" vertical="center"/>
    </xf>
    <xf numFmtId="1" fontId="26" fillId="0" borderId="0" xfId="0" applyNumberFormat="1" applyFont="1" applyAlignment="1">
      <alignment horizontal="center" vertical="center"/>
    </xf>
    <xf numFmtId="165" fontId="26" fillId="0" borderId="0" xfId="0" applyNumberFormat="1" applyFont="1" applyAlignment="1">
      <alignment horizontal="center" vertical="center"/>
    </xf>
    <xf numFmtId="0" fontId="26" fillId="0" borderId="16" xfId="0" applyFont="1" applyBorder="1" applyAlignment="1">
      <alignment horizontal="center" vertical="center"/>
    </xf>
    <xf numFmtId="0" fontId="15" fillId="0" borderId="0" xfId="0" applyFont="1" applyBorder="1" applyAlignment="1">
      <alignment horizontal="center" vertical="center"/>
    </xf>
    <xf numFmtId="0" fontId="26" fillId="0" borderId="0" xfId="0" applyFont="1" applyBorder="1" applyAlignment="1">
      <alignment horizontal="center" vertical="center"/>
    </xf>
    <xf numFmtId="0" fontId="26" fillId="0" borderId="6" xfId="0" applyFont="1" applyBorder="1" applyAlignment="1">
      <alignment horizontal="center" vertical="center"/>
    </xf>
    <xf numFmtId="0" fontId="26" fillId="0" borderId="14" xfId="0" applyFont="1" applyBorder="1" applyAlignment="1">
      <alignment horizontal="center" vertical="center"/>
    </xf>
    <xf numFmtId="0" fontId="26" fillId="0" borderId="0" xfId="0" quotePrefix="1" applyFont="1" applyAlignment="1">
      <alignment horizontal="center" vertical="center"/>
    </xf>
    <xf numFmtId="0" fontId="10" fillId="0" borderId="2" xfId="0" applyFont="1" applyBorder="1" applyAlignment="1">
      <alignment horizontal="center" vertical="center" wrapText="1"/>
    </xf>
    <xf numFmtId="165" fontId="17" fillId="25" borderId="29" xfId="0" applyNumberFormat="1" applyFont="1" applyFill="1" applyBorder="1" applyAlignment="1">
      <alignment horizontal="center" wrapText="1"/>
    </xf>
    <xf numFmtId="0" fontId="26" fillId="25" borderId="0" xfId="0" applyFont="1" applyFill="1"/>
    <xf numFmtId="0" fontId="0" fillId="25" borderId="0" xfId="0" applyFill="1"/>
    <xf numFmtId="0" fontId="54" fillId="0" borderId="0" xfId="0" applyFont="1" applyAlignment="1">
      <alignment wrapText="1"/>
    </xf>
    <xf numFmtId="0" fontId="55" fillId="0" borderId="0" xfId="0" applyFont="1" applyAlignment="1">
      <alignment horizontal="center" vertical="center" wrapText="1"/>
    </xf>
    <xf numFmtId="0" fontId="55" fillId="0" borderId="0" xfId="0" applyFont="1" applyAlignment="1">
      <alignment wrapText="1"/>
    </xf>
    <xf numFmtId="166" fontId="55" fillId="0" borderId="0" xfId="0" applyNumberFormat="1" applyFont="1" applyAlignment="1">
      <alignment wrapText="1"/>
    </xf>
    <xf numFmtId="0" fontId="55" fillId="0" borderId="0" xfId="0" applyFont="1" applyAlignment="1">
      <alignment horizontal="center" wrapText="1"/>
    </xf>
    <xf numFmtId="165" fontId="12" fillId="0" borderId="49" xfId="0" applyNumberFormat="1" applyFont="1" applyBorder="1" applyAlignment="1">
      <alignment wrapText="1"/>
    </xf>
    <xf numFmtId="0" fontId="55" fillId="0" borderId="48" xfId="0" applyFont="1" applyBorder="1" applyAlignment="1">
      <alignment wrapText="1"/>
    </xf>
    <xf numFmtId="1" fontId="0" fillId="8" borderId="0" xfId="0" applyNumberFormat="1" applyFill="1" applyAlignment="1">
      <alignment horizontal="center"/>
    </xf>
    <xf numFmtId="167" fontId="12" fillId="25" borderId="2" xfId="0" applyNumberFormat="1" applyFont="1" applyFill="1" applyBorder="1" applyAlignment="1">
      <alignment horizontal="center" wrapText="1"/>
    </xf>
    <xf numFmtId="1" fontId="12" fillId="0" borderId="49" xfId="0" applyNumberFormat="1" applyFont="1" applyBorder="1" applyAlignment="1">
      <alignment horizontal="center" vertical="center" wrapText="1"/>
    </xf>
    <xf numFmtId="0" fontId="26" fillId="0" borderId="21" xfId="0" applyFont="1" applyBorder="1" applyAlignment="1">
      <alignment horizontal="right"/>
    </xf>
    <xf numFmtId="0" fontId="26" fillId="0" borderId="39" xfId="0" applyFont="1" applyBorder="1" applyAlignment="1">
      <alignment horizontal="center" vertical="center"/>
    </xf>
    <xf numFmtId="0" fontId="26" fillId="0" borderId="33" xfId="0" applyFont="1" applyBorder="1" applyAlignment="1">
      <alignment horizontal="left" vertical="center"/>
    </xf>
    <xf numFmtId="1" fontId="0" fillId="0" borderId="0" xfId="0" applyNumberFormat="1"/>
    <xf numFmtId="0" fontId="36" fillId="0" borderId="21" xfId="2" applyFont="1" applyFill="1" applyBorder="1" applyAlignment="1">
      <alignment horizontal="center" textRotation="90" wrapText="1"/>
    </xf>
    <xf numFmtId="0" fontId="36" fillId="6" borderId="21" xfId="2" applyFont="1" applyFill="1" applyBorder="1" applyAlignment="1">
      <alignment horizontal="center"/>
    </xf>
    <xf numFmtId="169" fontId="37" fillId="0" borderId="21" xfId="2" applyNumberFormat="1" applyFont="1" applyFill="1" applyBorder="1" applyAlignment="1">
      <alignment horizontal="left"/>
    </xf>
    <xf numFmtId="0" fontId="36" fillId="0" borderId="0" xfId="2" applyFont="1" applyFill="1" applyBorder="1" applyAlignment="1">
      <alignment horizontal="center" textRotation="90" wrapText="1"/>
    </xf>
    <xf numFmtId="0" fontId="36" fillId="6" borderId="0" xfId="2" applyFont="1" applyFill="1" applyBorder="1" applyAlignment="1">
      <alignment horizontal="center"/>
    </xf>
    <xf numFmtId="169" fontId="37" fillId="0" borderId="0" xfId="2" applyNumberFormat="1" applyFont="1" applyFill="1" applyBorder="1" applyAlignment="1">
      <alignment horizontal="left"/>
    </xf>
    <xf numFmtId="1" fontId="55" fillId="26" borderId="0" xfId="0" applyNumberFormat="1" applyFont="1" applyFill="1"/>
    <xf numFmtId="0" fontId="55" fillId="26" borderId="0" xfId="0" applyFont="1" applyFill="1"/>
    <xf numFmtId="168" fontId="10" fillId="26" borderId="0" xfId="0" applyNumberFormat="1" applyFont="1" applyFill="1" applyBorder="1" applyAlignment="1">
      <alignment wrapText="1"/>
    </xf>
    <xf numFmtId="0" fontId="0" fillId="0" borderId="0" xfId="0" applyAlignment="1">
      <alignment horizontal="left"/>
    </xf>
    <xf numFmtId="0" fontId="26" fillId="5" borderId="0" xfId="0" applyFont="1" applyFill="1" applyBorder="1" applyAlignment="1">
      <alignment horizontal="center"/>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82" xfId="0" applyFont="1" applyBorder="1" applyAlignment="1">
      <alignment horizontal="center" wrapText="1"/>
    </xf>
    <xf numFmtId="0" fontId="10" fillId="0" borderId="2" xfId="0" applyFont="1" applyBorder="1" applyAlignment="1">
      <alignment horizontal="center" wrapText="1"/>
    </xf>
    <xf numFmtId="0" fontId="6" fillId="0" borderId="2" xfId="0" applyFont="1" applyBorder="1" applyAlignment="1">
      <alignment wrapText="1"/>
    </xf>
    <xf numFmtId="0" fontId="12" fillId="2" borderId="83" xfId="0" applyFont="1" applyFill="1" applyBorder="1" applyAlignment="1">
      <alignment horizontal="center" wrapText="1"/>
    </xf>
    <xf numFmtId="0" fontId="12" fillId="2" borderId="58" xfId="0" applyFont="1" applyFill="1" applyBorder="1" applyAlignment="1">
      <alignment horizontal="center" wrapText="1"/>
    </xf>
    <xf numFmtId="0" fontId="12" fillId="2" borderId="84" xfId="0" applyFont="1" applyFill="1" applyBorder="1" applyAlignment="1">
      <alignment horizontal="center" wrapText="1"/>
    </xf>
    <xf numFmtId="0" fontId="26" fillId="14" borderId="0" xfId="0" applyFont="1" applyFill="1" applyBorder="1" applyAlignment="1">
      <alignment horizontal="center"/>
    </xf>
    <xf numFmtId="167" fontId="57" fillId="0" borderId="29" xfId="0" applyNumberFormat="1" applyFont="1" applyFill="1" applyBorder="1" applyAlignment="1">
      <alignment horizontal="center" wrapText="1"/>
    </xf>
    <xf numFmtId="0" fontId="0" fillId="26" borderId="0" xfId="0" applyFill="1"/>
    <xf numFmtId="0" fontId="53" fillId="26" borderId="0" xfId="0" applyFont="1" applyFill="1"/>
    <xf numFmtId="0" fontId="0" fillId="26" borderId="0" xfId="0" applyFill="1" applyAlignment="1">
      <alignment horizontal="center"/>
    </xf>
    <xf numFmtId="1" fontId="0" fillId="26" borderId="0" xfId="0" applyNumberFormat="1" applyFill="1" applyBorder="1" applyAlignment="1">
      <alignment horizontal="center"/>
    </xf>
    <xf numFmtId="166" fontId="0" fillId="26" borderId="0" xfId="0" applyNumberFormat="1" applyFill="1"/>
    <xf numFmtId="0" fontId="59" fillId="0" borderId="50" xfId="0" applyFont="1" applyBorder="1"/>
    <xf numFmtId="166" fontId="59" fillId="0" borderId="51" xfId="0" applyNumberFormat="1" applyFont="1" applyBorder="1"/>
    <xf numFmtId="0" fontId="59" fillId="0" borderId="51" xfId="0" applyFont="1" applyBorder="1"/>
    <xf numFmtId="0" fontId="59" fillId="0" borderId="44" xfId="0" applyFont="1" applyBorder="1"/>
    <xf numFmtId="166" fontId="59" fillId="0" borderId="45" xfId="0" applyNumberFormat="1" applyFont="1" applyBorder="1"/>
    <xf numFmtId="0" fontId="59" fillId="0" borderId="0" xfId="0" applyFont="1" applyBorder="1"/>
    <xf numFmtId="0" fontId="59" fillId="0" borderId="46" xfId="0" applyFont="1" applyBorder="1"/>
    <xf numFmtId="166" fontId="59" fillId="0" borderId="47" xfId="0" applyNumberFormat="1" applyFont="1" applyBorder="1"/>
    <xf numFmtId="0" fontId="59" fillId="0" borderId="48" xfId="0" applyFont="1" applyBorder="1"/>
    <xf numFmtId="0" fontId="59" fillId="0" borderId="49" xfId="0" applyFont="1" applyBorder="1"/>
    <xf numFmtId="0" fontId="20" fillId="0" borderId="4" xfId="0" applyFont="1" applyBorder="1" applyAlignment="1">
      <alignment horizontal="center" vertical="top" wrapText="1"/>
    </xf>
    <xf numFmtId="0" fontId="15" fillId="0" borderId="6" xfId="0" applyFont="1" applyBorder="1" applyAlignment="1">
      <alignment horizontal="center"/>
    </xf>
    <xf numFmtId="0" fontId="7" fillId="0" borderId="3" xfId="0" applyFont="1" applyBorder="1" applyAlignment="1">
      <alignment horizontal="center" vertical="top" wrapText="1"/>
    </xf>
    <xf numFmtId="0" fontId="4" fillId="0" borderId="0" xfId="0"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26" fillId="23" borderId="28" xfId="0" applyFont="1" applyFill="1" applyBorder="1" applyAlignment="1">
      <alignment horizontal="left" vertical="center"/>
    </xf>
    <xf numFmtId="0" fontId="0" fillId="23" borderId="28" xfId="0" applyFill="1" applyBorder="1" applyAlignment="1">
      <alignment horizontal="left" vertical="center"/>
    </xf>
    <xf numFmtId="0" fontId="0" fillId="23" borderId="30" xfId="0" applyFill="1" applyBorder="1" applyAlignment="1">
      <alignment horizontal="left" vertical="center"/>
    </xf>
    <xf numFmtId="0" fontId="0" fillId="0" borderId="38" xfId="0" applyBorder="1" applyAlignment="1">
      <alignment horizontal="right"/>
    </xf>
    <xf numFmtId="0" fontId="0" fillId="0" borderId="28" xfId="0" applyBorder="1" applyAlignment="1">
      <alignment horizontal="right"/>
    </xf>
    <xf numFmtId="0" fontId="0" fillId="0" borderId="28" xfId="0" applyBorder="1" applyAlignment="1"/>
    <xf numFmtId="0" fontId="6" fillId="0" borderId="15" xfId="0"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8" fontId="12" fillId="0" borderId="74" xfId="0" applyNumberFormat="1" applyFont="1" applyBorder="1" applyAlignment="1">
      <alignment horizontal="center" wrapText="1"/>
    </xf>
    <xf numFmtId="8" fontId="12" fillId="0" borderId="75" xfId="0" applyNumberFormat="1" applyFont="1" applyBorder="1" applyAlignment="1">
      <alignment horizontal="center" wrapText="1"/>
    </xf>
    <xf numFmtId="8" fontId="12" fillId="0" borderId="76" xfId="0" applyNumberFormat="1" applyFont="1" applyBorder="1" applyAlignment="1">
      <alignment horizontal="center" wrapText="1"/>
    </xf>
    <xf numFmtId="0" fontId="20" fillId="0" borderId="6" xfId="0" applyFont="1" applyBorder="1" applyAlignment="1">
      <alignment horizontal="center" wrapText="1"/>
    </xf>
    <xf numFmtId="0" fontId="10" fillId="0" borderId="0" xfId="0" applyFont="1" applyBorder="1" applyAlignment="1">
      <alignment horizontal="center" wrapText="1"/>
    </xf>
    <xf numFmtId="0" fontId="10" fillId="0" borderId="2" xfId="0" applyFont="1" applyBorder="1" applyAlignment="1">
      <alignment horizontal="center" wrapText="1"/>
    </xf>
    <xf numFmtId="0" fontId="10" fillId="0" borderId="6" xfId="0" applyFont="1" applyBorder="1" applyAlignment="1">
      <alignment horizontal="center" wrapText="1"/>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8" fontId="12" fillId="0" borderId="13" xfId="0" applyNumberFormat="1" applyFont="1" applyBorder="1" applyAlignment="1">
      <alignment horizontal="center" wrapText="1"/>
    </xf>
    <xf numFmtId="8" fontId="12" fillId="0" borderId="18" xfId="0" applyNumberFormat="1" applyFont="1" applyBorder="1" applyAlignment="1">
      <alignment horizontal="center" wrapText="1"/>
    </xf>
    <xf numFmtId="0" fontId="10"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5" fillId="0" borderId="6" xfId="0" applyFont="1" applyBorder="1" applyAlignment="1">
      <alignment horizontal="center" vertical="top" wrapText="1"/>
    </xf>
    <xf numFmtId="0" fontId="15" fillId="0" borderId="1" xfId="0" applyFont="1" applyBorder="1" applyAlignment="1">
      <alignment horizontal="center" vertical="top" wrapText="1"/>
    </xf>
    <xf numFmtId="0" fontId="9" fillId="0" borderId="15" xfId="0" applyFont="1" applyBorder="1" applyAlignment="1">
      <alignment horizontal="center" vertical="top" wrapText="1"/>
    </xf>
    <xf numFmtId="0" fontId="9" fillId="0" borderId="63" xfId="0" applyFont="1" applyBorder="1" applyAlignment="1">
      <alignment horizontal="center" vertical="top" wrapText="1"/>
    </xf>
    <xf numFmtId="0" fontId="28" fillId="2" borderId="38" xfId="0" applyFont="1" applyFill="1" applyBorder="1" applyAlignment="1">
      <alignment horizontal="center" vertical="center" wrapText="1"/>
    </xf>
    <xf numFmtId="0" fontId="0" fillId="0" borderId="30" xfId="0" applyBorder="1" applyAlignment="1">
      <alignment horizontal="center" vertical="center"/>
    </xf>
    <xf numFmtId="0" fontId="15" fillId="0" borderId="28" xfId="0" applyFont="1" applyBorder="1" applyAlignment="1">
      <alignment horizontal="right" vertical="center" wrapText="1"/>
    </xf>
    <xf numFmtId="0" fontId="0" fillId="0" borderId="28" xfId="0" applyBorder="1" applyAlignment="1">
      <alignment horizontal="right" vertical="center"/>
    </xf>
    <xf numFmtId="0" fontId="20" fillId="0" borderId="0" xfId="0" applyFont="1" applyBorder="1" applyAlignment="1">
      <alignment horizontal="center" wrapText="1"/>
    </xf>
    <xf numFmtId="0" fontId="7" fillId="0" borderId="38" xfId="0" applyFont="1" applyBorder="1" applyAlignment="1">
      <alignment horizontal="right" vertical="center" wrapText="1"/>
    </xf>
    <xf numFmtId="0" fontId="0" fillId="0" borderId="30" xfId="0" applyBorder="1" applyAlignment="1">
      <alignment horizontal="right" vertical="center"/>
    </xf>
    <xf numFmtId="0" fontId="26" fillId="2" borderId="28" xfId="0" quotePrefix="1" applyFont="1" applyFill="1" applyBorder="1" applyAlignment="1" applyProtection="1">
      <alignment vertical="center" wrapText="1"/>
    </xf>
    <xf numFmtId="0" fontId="0" fillId="0" borderId="28" xfId="0" applyBorder="1" applyAlignment="1" applyProtection="1">
      <alignment vertical="center" wrapText="1"/>
    </xf>
    <xf numFmtId="0" fontId="6" fillId="0" borderId="6" xfId="0" applyFont="1" applyBorder="1" applyAlignment="1">
      <alignment horizontal="center" vertical="top" wrapText="1"/>
    </xf>
    <xf numFmtId="0" fontId="6" fillId="0" borderId="1" xfId="0" applyFont="1" applyBorder="1" applyAlignment="1">
      <alignment horizontal="center" vertical="top" wrapText="1"/>
    </xf>
    <xf numFmtId="0" fontId="26" fillId="2" borderId="28" xfId="0" applyFont="1" applyFill="1" applyBorder="1" applyAlignment="1" applyProtection="1">
      <alignment vertical="center" wrapText="1"/>
    </xf>
    <xf numFmtId="167" fontId="12" fillId="13" borderId="60" xfId="0" applyNumberFormat="1" applyFont="1" applyFill="1" applyBorder="1" applyAlignment="1">
      <alignment horizontal="center" wrapText="1"/>
    </xf>
    <xf numFmtId="167" fontId="12" fillId="13" borderId="61" xfId="0" applyNumberFormat="1" applyFont="1" applyFill="1" applyBorder="1" applyAlignment="1">
      <alignment horizontal="center" wrapText="1"/>
    </xf>
    <xf numFmtId="167" fontId="12" fillId="13" borderId="62" xfId="0" applyNumberFormat="1" applyFont="1" applyFill="1"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167" fontId="12" fillId="13" borderId="13" xfId="0" applyNumberFormat="1" applyFont="1" applyFill="1" applyBorder="1" applyAlignment="1">
      <alignment horizontal="center" wrapText="1"/>
    </xf>
    <xf numFmtId="167" fontId="12" fillId="13" borderId="18" xfId="0" applyNumberFormat="1" applyFont="1" applyFill="1" applyBorder="1" applyAlignment="1">
      <alignment horizontal="center" wrapText="1"/>
    </xf>
    <xf numFmtId="0" fontId="7" fillId="0" borderId="38" xfId="0" applyFont="1" applyBorder="1" applyAlignment="1">
      <alignment vertical="top" wrapText="1"/>
    </xf>
    <xf numFmtId="0" fontId="0" fillId="0" borderId="28" xfId="0" applyBorder="1" applyAlignment="1">
      <alignment vertical="top" wrapText="1"/>
    </xf>
    <xf numFmtId="0" fontId="7" fillId="0" borderId="28" xfId="0" applyFont="1" applyBorder="1" applyAlignment="1">
      <alignment vertical="top" wrapText="1"/>
    </xf>
    <xf numFmtId="0" fontId="0" fillId="0" borderId="30" xfId="0" applyBorder="1" applyAlignment="1">
      <alignment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39" fillId="2" borderId="21" xfId="0" applyFont="1" applyFill="1" applyBorder="1" applyAlignment="1">
      <alignment horizontal="center" vertical="center" wrapText="1"/>
    </xf>
    <xf numFmtId="0" fontId="0" fillId="0" borderId="27" xfId="0" applyBorder="1" applyAlignment="1">
      <alignment horizontal="center" vertical="center" wrapText="1"/>
    </xf>
    <xf numFmtId="0" fontId="39" fillId="0" borderId="21" xfId="0" applyFont="1" applyFill="1" applyBorder="1" applyAlignment="1">
      <alignment vertical="center" wrapText="1"/>
    </xf>
    <xf numFmtId="0" fontId="0" fillId="0" borderId="27" xfId="0" applyBorder="1" applyAlignment="1">
      <alignment vertical="center" wrapText="1"/>
    </xf>
    <xf numFmtId="0" fontId="8" fillId="0" borderId="38" xfId="0" applyFont="1" applyBorder="1" applyAlignment="1">
      <alignment vertical="top" wrapText="1"/>
    </xf>
    <xf numFmtId="0" fontId="0" fillId="0" borderId="28" xfId="0" applyBorder="1"/>
    <xf numFmtId="0" fontId="8" fillId="2" borderId="64" xfId="0" applyFont="1" applyFill="1" applyBorder="1" applyAlignment="1">
      <alignment vertical="top" wrapText="1"/>
    </xf>
    <xf numFmtId="0" fontId="0" fillId="0" borderId="64" xfId="0" applyBorder="1" applyAlignment="1">
      <alignment vertical="top" wrapText="1"/>
    </xf>
    <xf numFmtId="0" fontId="0" fillId="0" borderId="71" xfId="0" applyBorder="1" applyAlignment="1">
      <alignment vertical="top" wrapText="1"/>
    </xf>
    <xf numFmtId="1" fontId="43" fillId="0" borderId="38" xfId="0" applyNumberFormat="1" applyFont="1" applyBorder="1" applyAlignment="1">
      <alignment horizontal="center" vertical="center" wrapText="1"/>
    </xf>
    <xf numFmtId="0" fontId="43" fillId="0" borderId="28" xfId="0" applyFont="1" applyBorder="1" applyAlignment="1">
      <alignment horizontal="center" vertical="center" wrapText="1"/>
    </xf>
    <xf numFmtId="1" fontId="51" fillId="0" borderId="16" xfId="0" applyNumberFormat="1" applyFont="1" applyBorder="1" applyAlignment="1">
      <alignment horizontal="left" vertical="top" wrapText="1"/>
    </xf>
    <xf numFmtId="0" fontId="52" fillId="0" borderId="16" xfId="0" applyFont="1" applyBorder="1" applyAlignment="1">
      <alignment horizontal="left" vertical="top" wrapText="1"/>
    </xf>
    <xf numFmtId="0" fontId="52" fillId="0" borderId="17" xfId="0" applyFont="1" applyBorder="1" applyAlignment="1">
      <alignment horizontal="left" vertical="top" wrapText="1"/>
    </xf>
    <xf numFmtId="0" fontId="17" fillId="3" borderId="68" xfId="0" applyFont="1" applyFill="1" applyBorder="1" applyAlignment="1">
      <alignment horizontal="left" vertical="top" wrapText="1"/>
    </xf>
    <xf numFmtId="0" fontId="17" fillId="3" borderId="48" xfId="0" applyFont="1" applyFill="1" applyBorder="1" applyAlignment="1">
      <alignment horizontal="left" vertical="top" wrapText="1"/>
    </xf>
    <xf numFmtId="0" fontId="15" fillId="3" borderId="48" xfId="0" applyFont="1" applyFill="1" applyBorder="1" applyAlignment="1">
      <alignment horizontal="left" vertical="top" wrapText="1"/>
    </xf>
    <xf numFmtId="0" fontId="15" fillId="3" borderId="67" xfId="0" applyFont="1" applyFill="1" applyBorder="1" applyAlignment="1">
      <alignment horizontal="left" vertical="top" wrapText="1"/>
    </xf>
    <xf numFmtId="0" fontId="8" fillId="2" borderId="39" xfId="0" applyFont="1" applyFill="1" applyBorder="1" applyAlignment="1">
      <alignment vertical="top" wrapText="1"/>
    </xf>
    <xf numFmtId="0" fontId="0" fillId="0" borderId="39" xfId="0" applyBorder="1" applyAlignment="1">
      <alignment vertical="top" wrapText="1"/>
    </xf>
    <xf numFmtId="0" fontId="8" fillId="0" borderId="6" xfId="0" applyFont="1" applyBorder="1" applyAlignment="1">
      <alignment vertical="top" wrapText="1"/>
    </xf>
    <xf numFmtId="0" fontId="8" fillId="0" borderId="0" xfId="0" applyFont="1" applyBorder="1" applyAlignment="1">
      <alignment vertical="top" wrapText="1"/>
    </xf>
    <xf numFmtId="0" fontId="8" fillId="0" borderId="2" xfId="0" applyFont="1" applyBorder="1" applyAlignment="1">
      <alignment vertical="top" wrapText="1"/>
    </xf>
    <xf numFmtId="0" fontId="8" fillId="23" borderId="65" xfId="0" applyFont="1" applyFill="1" applyBorder="1" applyAlignment="1">
      <alignment vertical="top" wrapText="1"/>
    </xf>
    <xf numFmtId="0" fontId="0" fillId="23" borderId="65" xfId="0" applyFill="1" applyBorder="1" applyAlignment="1">
      <alignment vertical="top" wrapText="1"/>
    </xf>
    <xf numFmtId="0" fontId="0" fillId="23" borderId="66" xfId="0" applyFill="1" applyBorder="1" applyAlignment="1">
      <alignment vertical="top" wrapText="1"/>
    </xf>
    <xf numFmtId="0" fontId="8" fillId="2" borderId="45" xfId="0" applyFont="1" applyFill="1" applyBorder="1" applyAlignment="1">
      <alignment vertical="top" wrapText="1"/>
    </xf>
    <xf numFmtId="0" fontId="0" fillId="0" borderId="0" xfId="0" applyBorder="1" applyAlignment="1"/>
    <xf numFmtId="0" fontId="0" fillId="0" borderId="2" xfId="0" applyBorder="1" applyAlignment="1"/>
    <xf numFmtId="0" fontId="0" fillId="0" borderId="47" xfId="0" applyBorder="1" applyAlignment="1"/>
    <xf numFmtId="0" fontId="0" fillId="0" borderId="48" xfId="0" applyBorder="1" applyAlignment="1"/>
    <xf numFmtId="0" fontId="0" fillId="0" borderId="67" xfId="0" applyBorder="1" applyAlignment="1"/>
    <xf numFmtId="0" fontId="8" fillId="0" borderId="6" xfId="0" applyFont="1" applyFill="1" applyBorder="1" applyAlignment="1">
      <alignment horizontal="right" vertical="top" wrapText="1"/>
    </xf>
    <xf numFmtId="0" fontId="0" fillId="0" borderId="68" xfId="0" applyBorder="1" applyAlignment="1">
      <alignment horizontal="right"/>
    </xf>
    <xf numFmtId="0" fontId="19" fillId="0" borderId="6" xfId="0" applyFont="1" applyBorder="1" applyAlignment="1">
      <alignment horizontal="left" vertical="top" wrapText="1" indent="4"/>
    </xf>
    <xf numFmtId="0" fontId="19" fillId="0" borderId="0" xfId="0" applyFont="1" applyBorder="1" applyAlignment="1">
      <alignment horizontal="left" vertical="top" wrapText="1" indent="4"/>
    </xf>
    <xf numFmtId="0" fontId="19" fillId="0" borderId="2" xfId="0" applyFont="1" applyBorder="1" applyAlignment="1">
      <alignment horizontal="left" vertical="top" wrapText="1" indent="4"/>
    </xf>
    <xf numFmtId="0" fontId="26" fillId="2" borderId="51" xfId="0" applyFont="1" applyFill="1" applyBorder="1" applyAlignment="1">
      <alignment vertical="top" wrapText="1"/>
    </xf>
    <xf numFmtId="0" fontId="0" fillId="2" borderId="51" xfId="0" applyFill="1" applyBorder="1" applyAlignment="1"/>
    <xf numFmtId="0" fontId="0" fillId="2" borderId="69" xfId="0" applyFill="1" applyBorder="1" applyAlignment="1"/>
    <xf numFmtId="0" fontId="8" fillId="2" borderId="70" xfId="0" quotePrefix="1" applyFont="1" applyFill="1" applyBorder="1" applyAlignment="1">
      <alignment vertical="top" wrapText="1"/>
    </xf>
    <xf numFmtId="0" fontId="8" fillId="2" borderId="70" xfId="0" applyFont="1" applyFill="1" applyBorder="1" applyAlignment="1">
      <alignment vertical="top" wrapText="1"/>
    </xf>
    <xf numFmtId="0" fontId="0" fillId="2" borderId="56" xfId="0" applyFill="1" applyBorder="1" applyAlignment="1">
      <alignment vertical="top" wrapText="1"/>
    </xf>
    <xf numFmtId="0" fontId="8" fillId="0" borderId="15" xfId="0" applyFont="1" applyBorder="1" applyAlignment="1">
      <alignment vertical="top" wrapText="1"/>
    </xf>
    <xf numFmtId="0" fontId="0" fillId="0" borderId="16" xfId="0" applyBorder="1" applyAlignment="1">
      <alignment vertical="top"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38" xfId="0" applyFont="1" applyBorder="1" applyAlignment="1">
      <alignment horizontal="right" vertical="top" wrapText="1"/>
    </xf>
    <xf numFmtId="0" fontId="0" fillId="0" borderId="28" xfId="0" applyBorder="1" applyAlignment="1">
      <alignment horizontal="right" vertical="top" wrapText="1"/>
    </xf>
    <xf numFmtId="0" fontId="19" fillId="0" borderId="16" xfId="0" applyFont="1" applyBorder="1" applyAlignment="1">
      <alignment horizontal="center" vertical="top" wrapText="1"/>
    </xf>
    <xf numFmtId="0" fontId="20" fillId="0" borderId="38" xfId="0" applyFont="1" applyBorder="1" applyAlignment="1">
      <alignment horizontal="right" vertical="top" wrapText="1"/>
    </xf>
    <xf numFmtId="0" fontId="20" fillId="0" borderId="28" xfId="0" applyFont="1" applyBorder="1" applyAlignment="1">
      <alignment horizontal="right" vertical="top" wrapText="1"/>
    </xf>
    <xf numFmtId="0" fontId="20" fillId="0" borderId="30" xfId="0" applyFont="1" applyBorder="1" applyAlignment="1">
      <alignment horizontal="right" vertical="top" wrapText="1"/>
    </xf>
    <xf numFmtId="0" fontId="10" fillId="0" borderId="15" xfId="0" applyFont="1" applyBorder="1" applyAlignment="1">
      <alignment vertical="top" wrapText="1"/>
    </xf>
    <xf numFmtId="0" fontId="0" fillId="0" borderId="16" xfId="0" applyBorder="1" applyAlignment="1"/>
    <xf numFmtId="0" fontId="8" fillId="2" borderId="14" xfId="0" applyFont="1" applyFill="1" applyBorder="1" applyAlignment="1">
      <alignment vertical="top" wrapText="1"/>
    </xf>
    <xf numFmtId="0" fontId="0" fillId="0" borderId="14" xfId="0" applyBorder="1" applyAlignment="1">
      <alignment vertical="top" wrapText="1"/>
    </xf>
    <xf numFmtId="0" fontId="10" fillId="0" borderId="0" xfId="0" applyFont="1" applyBorder="1" applyAlignment="1">
      <alignment vertical="top" wrapText="1"/>
    </xf>
    <xf numFmtId="0" fontId="8" fillId="0" borderId="20" xfId="0" applyFont="1" applyFill="1" applyBorder="1" applyAlignment="1">
      <alignment horizontal="right" vertical="top" wrapText="1"/>
    </xf>
    <xf numFmtId="0" fontId="8" fillId="0" borderId="39" xfId="0" applyFont="1" applyFill="1" applyBorder="1" applyAlignment="1">
      <alignment horizontal="right" vertical="top" wrapText="1"/>
    </xf>
    <xf numFmtId="0" fontId="8" fillId="0" borderId="33" xfId="0" applyFont="1" applyFill="1" applyBorder="1" applyAlignment="1">
      <alignment horizontal="right" vertical="top" wrapText="1"/>
    </xf>
    <xf numFmtId="0" fontId="0" fillId="2" borderId="64" xfId="0" applyFill="1" applyBorder="1" applyAlignment="1">
      <alignment vertical="top" wrapText="1"/>
    </xf>
    <xf numFmtId="0" fontId="0" fillId="2" borderId="39" xfId="0" applyFill="1" applyBorder="1" applyAlignment="1">
      <alignment vertical="top" wrapText="1"/>
    </xf>
    <xf numFmtId="0" fontId="26" fillId="2" borderId="39" xfId="0" applyFont="1" applyFill="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10" fillId="0" borderId="16" xfId="0" applyFont="1" applyBorder="1" applyAlignment="1">
      <alignment vertical="top" wrapText="1"/>
    </xf>
    <xf numFmtId="0" fontId="0" fillId="0" borderId="17" xfId="0" applyBorder="1" applyAlignment="1"/>
    <xf numFmtId="0" fontId="0" fillId="0" borderId="0" xfId="0" applyBorder="1" applyAlignment="1">
      <alignment vertical="top" wrapText="1"/>
    </xf>
    <xf numFmtId="0" fontId="0" fillId="0" borderId="2" xfId="0" applyBorder="1" applyAlignment="1">
      <alignment vertical="top" wrapText="1"/>
    </xf>
    <xf numFmtId="0" fontId="8" fillId="2" borderId="21" xfId="0" applyFont="1" applyFill="1" applyBorder="1" applyAlignment="1">
      <alignment vertical="top" wrapText="1"/>
    </xf>
    <xf numFmtId="0" fontId="0" fillId="0" borderId="39" xfId="0" applyBorder="1" applyAlignment="1"/>
    <xf numFmtId="0" fontId="0" fillId="0" borderId="27" xfId="0" applyBorder="1" applyAlignment="1"/>
    <xf numFmtId="0" fontId="8" fillId="23" borderId="21" xfId="0" applyFont="1" applyFill="1" applyBorder="1" applyAlignment="1">
      <alignment vertical="top" wrapText="1"/>
    </xf>
    <xf numFmtId="0" fontId="0" fillId="0" borderId="33" xfId="0" applyBorder="1" applyAlignment="1">
      <alignment vertical="top" wrapText="1"/>
    </xf>
    <xf numFmtId="0" fontId="8" fillId="23" borderId="14" xfId="0" applyFont="1" applyFill="1" applyBorder="1" applyAlignment="1">
      <alignment vertical="top" wrapText="1"/>
    </xf>
    <xf numFmtId="0" fontId="0" fillId="23" borderId="14" xfId="0" applyFill="1" applyBorder="1" applyAlignment="1"/>
    <xf numFmtId="0" fontId="0" fillId="23" borderId="18" xfId="0" applyFill="1" applyBorder="1" applyAlignment="1"/>
    <xf numFmtId="0" fontId="41" fillId="4" borderId="39" xfId="0" applyFont="1" applyFill="1" applyBorder="1" applyAlignment="1">
      <alignment horizontal="center" vertical="center" wrapText="1"/>
    </xf>
    <xf numFmtId="0" fontId="42" fillId="0" borderId="39" xfId="0" applyFont="1" applyBorder="1" applyAlignment="1">
      <alignment horizontal="center" vertical="center" wrapText="1"/>
    </xf>
    <xf numFmtId="0" fontId="42" fillId="0" borderId="27" xfId="0" applyFont="1" applyBorder="1" applyAlignment="1">
      <alignment horizontal="center" vertical="center" wrapText="1"/>
    </xf>
    <xf numFmtId="0" fontId="8" fillId="21" borderId="20" xfId="0" applyFont="1" applyFill="1" applyBorder="1" applyAlignment="1">
      <alignment vertical="top" wrapText="1"/>
    </xf>
    <xf numFmtId="0" fontId="0" fillId="21" borderId="39" xfId="0" applyFill="1" applyBorder="1" applyAlignment="1">
      <alignment wrapText="1"/>
    </xf>
    <xf numFmtId="0" fontId="0" fillId="21" borderId="27" xfId="0" applyFill="1" applyBorder="1" applyAlignment="1">
      <alignment wrapText="1"/>
    </xf>
    <xf numFmtId="0" fontId="10" fillId="0" borderId="38" xfId="0" applyFont="1" applyBorder="1" applyAlignment="1">
      <alignment vertical="top" wrapText="1"/>
    </xf>
    <xf numFmtId="0" fontId="10" fillId="0" borderId="3" xfId="0" applyFont="1" applyBorder="1" applyAlignment="1">
      <alignment horizontal="center" wrapText="1"/>
    </xf>
    <xf numFmtId="0" fontId="26" fillId="25" borderId="28" xfId="0" applyFont="1" applyFill="1" applyBorder="1" applyAlignment="1">
      <alignment horizontal="left" vertical="top" wrapText="1"/>
    </xf>
    <xf numFmtId="0" fontId="26" fillId="25" borderId="30" xfId="0" applyFont="1" applyFill="1" applyBorder="1" applyAlignment="1">
      <alignment horizontal="left" vertical="top" wrapText="1"/>
    </xf>
    <xf numFmtId="0" fontId="15" fillId="0" borderId="28" xfId="0" applyFont="1" applyBorder="1" applyAlignment="1">
      <alignment horizontal="right" vertical="top" wrapText="1"/>
    </xf>
    <xf numFmtId="0" fontId="58" fillId="0" borderId="16" xfId="0" applyFont="1" applyFill="1" applyBorder="1" applyAlignment="1">
      <alignment horizontal="right" wrapText="1"/>
    </xf>
    <xf numFmtId="0" fontId="58" fillId="0" borderId="17" xfId="0" applyFont="1" applyFill="1" applyBorder="1" applyAlignment="1">
      <alignment horizontal="right" wrapText="1"/>
    </xf>
    <xf numFmtId="0" fontId="7" fillId="0" borderId="38" xfId="0" applyFont="1" applyBorder="1" applyAlignment="1">
      <alignment horizontal="right" vertical="top" wrapText="1"/>
    </xf>
    <xf numFmtId="0" fontId="0" fillId="0" borderId="30" xfId="0" applyBorder="1" applyAlignment="1">
      <alignment horizontal="right"/>
    </xf>
    <xf numFmtId="0" fontId="28" fillId="25" borderId="38" xfId="0" applyFont="1" applyFill="1" applyBorder="1" applyAlignment="1">
      <alignment horizontal="center" vertical="center" wrapText="1"/>
    </xf>
    <xf numFmtId="0" fontId="0" fillId="25" borderId="30" xfId="0" applyFill="1" applyBorder="1" applyAlignment="1">
      <alignment horizontal="center" vertical="center"/>
    </xf>
    <xf numFmtId="0" fontId="26" fillId="25" borderId="28" xfId="0" applyFont="1" applyFill="1" applyBorder="1" applyAlignment="1" applyProtection="1">
      <alignment vertical="top" wrapText="1"/>
    </xf>
    <xf numFmtId="0" fontId="0" fillId="25" borderId="28" xfId="0" applyFill="1" applyBorder="1" applyAlignment="1" applyProtection="1">
      <alignment vertical="top" wrapText="1"/>
    </xf>
  </cellXfs>
  <cellStyles count="3">
    <cellStyle name="Hyperlink" xfId="1" builtinId="8"/>
    <cellStyle name="Normal" xfId="0" builtinId="0"/>
    <cellStyle name="Normal_2008 Entry List" xfId="2"/>
  </cellStyles>
  <dxfs count="22">
    <dxf>
      <fill>
        <patternFill>
          <bgColor indexed="47"/>
        </patternFill>
      </fill>
    </dxf>
    <dxf>
      <fill>
        <patternFill>
          <bgColor indexed="11"/>
        </patternFill>
      </fill>
    </dxf>
    <dxf>
      <fill>
        <patternFill>
          <bgColor indexed="47"/>
        </patternFill>
      </fill>
    </dxf>
    <dxf>
      <fill>
        <patternFill>
          <bgColor indexed="11"/>
        </patternFill>
      </fill>
    </dxf>
    <dxf>
      <fill>
        <patternFill>
          <bgColor indexed="47"/>
        </patternFill>
      </fill>
    </dxf>
    <dxf>
      <fill>
        <patternFill>
          <bgColor indexed="11"/>
        </patternFill>
      </fill>
    </dxf>
    <dxf>
      <fill>
        <patternFill>
          <bgColor indexed="42"/>
        </patternFill>
      </fill>
    </dxf>
    <dxf>
      <fill>
        <patternFill>
          <bgColor indexed="47"/>
        </patternFill>
      </fill>
    </dxf>
    <dxf>
      <fill>
        <patternFill>
          <bgColor indexed="11"/>
        </patternFill>
      </fill>
    </dxf>
    <dxf>
      <font>
        <b val="0"/>
        <i val="0"/>
        <color rgb="FFFF0000"/>
      </font>
      <fill>
        <patternFill>
          <bgColor rgb="FFFFFF00"/>
        </patternFill>
      </fill>
    </dxf>
    <dxf>
      <fill>
        <patternFill>
          <bgColor rgb="FFFFC000"/>
        </patternFill>
      </fill>
    </dxf>
    <dxf>
      <font>
        <color rgb="FFFFC000"/>
      </font>
      <fill>
        <patternFill>
          <bgColor rgb="FFFFC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26"/>
      </font>
      <fill>
        <patternFill>
          <bgColor indexed="10"/>
        </patternFill>
      </fill>
    </dxf>
    <dxf>
      <font>
        <b/>
        <i val="0"/>
        <color theme="0"/>
      </font>
      <fill>
        <patternFill>
          <bgColor theme="1" tint="4.9989318521683403E-2"/>
        </patternFill>
      </fill>
    </dxf>
    <dxf>
      <font>
        <b val="0"/>
        <i val="0"/>
        <color rgb="FFFF0000"/>
      </font>
      <fill>
        <patternFill>
          <bgColor rgb="FFFFFF00"/>
        </patternFill>
      </fill>
    </dxf>
    <dxf>
      <fill>
        <patternFill>
          <bgColor rgb="FFFFC000"/>
        </patternFill>
      </fill>
    </dxf>
    <dxf>
      <font>
        <color rgb="FFFFC000"/>
      </font>
      <fill>
        <patternFill>
          <bgColor rgb="FFFFC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26"/>
      </font>
      <fill>
        <patternFill>
          <bgColor indexed="10"/>
        </patternFill>
      </fill>
    </dxf>
  </dxfs>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624527</xdr:colOff>
      <xdr:row>1</xdr:row>
      <xdr:rowOff>149679</xdr:rowOff>
    </xdr:from>
    <xdr:to>
      <xdr:col>24</xdr:col>
      <xdr:colOff>1360714</xdr:colOff>
      <xdr:row>7</xdr:row>
      <xdr:rowOff>149679</xdr:rowOff>
    </xdr:to>
    <xdr:pic>
      <xdr:nvPicPr>
        <xdr:cNvPr id="105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99706" y="517072"/>
          <a:ext cx="1702294" cy="1074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104775</xdr:colOff>
      <xdr:row>2</xdr:row>
      <xdr:rowOff>114300</xdr:rowOff>
    </xdr:from>
    <xdr:to>
      <xdr:col>2</xdr:col>
      <xdr:colOff>523875</xdr:colOff>
      <xdr:row>6</xdr:row>
      <xdr:rowOff>85725</xdr:rowOff>
    </xdr:to>
    <xdr:pic>
      <xdr:nvPicPr>
        <xdr:cNvPr id="1060"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 y="447675"/>
          <a:ext cx="10953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1</xdr:row>
      <xdr:rowOff>66675</xdr:rowOff>
    </xdr:from>
    <xdr:to>
      <xdr:col>2</xdr:col>
      <xdr:colOff>133350</xdr:colOff>
      <xdr:row>4</xdr:row>
      <xdr:rowOff>180975</xdr:rowOff>
    </xdr:to>
    <xdr:pic>
      <xdr:nvPicPr>
        <xdr:cNvPr id="208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228600"/>
          <a:ext cx="9525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0</xdr:row>
      <xdr:rowOff>123826</xdr:rowOff>
    </xdr:from>
    <xdr:to>
      <xdr:col>9</xdr:col>
      <xdr:colOff>0</xdr:colOff>
      <xdr:row>5</xdr:row>
      <xdr:rowOff>21406</xdr:rowOff>
    </xdr:to>
    <xdr:pic>
      <xdr:nvPicPr>
        <xdr:cNvPr id="2086"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42388" y="123826"/>
          <a:ext cx="1262865" cy="871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520700</xdr:colOff>
      <xdr:row>2</xdr:row>
      <xdr:rowOff>57150</xdr:rowOff>
    </xdr:from>
    <xdr:to>
      <xdr:col>25</xdr:col>
      <xdr:colOff>546100</xdr:colOff>
      <xdr:row>7</xdr:row>
      <xdr:rowOff>25400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4000" y="539750"/>
          <a:ext cx="1549400" cy="95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2</xdr:row>
      <xdr:rowOff>114300</xdr:rowOff>
    </xdr:from>
    <xdr:to>
      <xdr:col>3</xdr:col>
      <xdr:colOff>523875</xdr:colOff>
      <xdr:row>6</xdr:row>
      <xdr:rowOff>85725</xdr:rowOff>
    </xdr:to>
    <xdr:pic>
      <xdr:nvPicPr>
        <xdr:cNvPr id="3"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638175"/>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eter@scouts-shoot.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C28"/>
  <sheetViews>
    <sheetView zoomScale="75" zoomScaleNormal="75" workbookViewId="0">
      <selection activeCell="C36" sqref="C36"/>
    </sheetView>
  </sheetViews>
  <sheetFormatPr defaultRowHeight="12.75" x14ac:dyDescent="0.2"/>
  <cols>
    <col min="2" max="2" width="6.85546875" customWidth="1"/>
    <col min="3" max="3" width="131" customWidth="1"/>
  </cols>
  <sheetData>
    <row r="1" spans="2:3" ht="18" x14ac:dyDescent="0.25">
      <c r="B1" s="95" t="s">
        <v>301</v>
      </c>
      <c r="C1" s="88"/>
    </row>
    <row r="2" spans="2:3" ht="15.75" x14ac:dyDescent="0.25">
      <c r="B2" s="87"/>
      <c r="C2" s="91" t="s">
        <v>302</v>
      </c>
    </row>
    <row r="3" spans="2:3" ht="15.75" x14ac:dyDescent="0.25">
      <c r="B3" s="87"/>
      <c r="C3" s="92" t="s">
        <v>303</v>
      </c>
    </row>
    <row r="4" spans="2:3" ht="15.75" x14ac:dyDescent="0.25">
      <c r="B4" s="87"/>
      <c r="C4" s="94" t="s">
        <v>594</v>
      </c>
    </row>
    <row r="5" spans="2:3" ht="15.75" x14ac:dyDescent="0.25">
      <c r="B5" s="87"/>
      <c r="C5" s="93"/>
    </row>
    <row r="6" spans="2:3" ht="15.75" x14ac:dyDescent="0.25">
      <c r="B6" s="87"/>
      <c r="C6" s="87" t="s">
        <v>607</v>
      </c>
    </row>
    <row r="7" spans="2:3" ht="15.75" x14ac:dyDescent="0.25">
      <c r="B7" s="87"/>
      <c r="C7" s="88"/>
    </row>
    <row r="8" spans="2:3" s="377" customFormat="1" ht="34.5" customHeight="1" x14ac:dyDescent="0.2">
      <c r="B8" s="376">
        <v>1</v>
      </c>
      <c r="C8" s="378" t="s">
        <v>1408</v>
      </c>
    </row>
    <row r="9" spans="2:3" ht="15.75" x14ac:dyDescent="0.25">
      <c r="B9" s="96"/>
      <c r="C9" s="88"/>
    </row>
    <row r="10" spans="2:3" ht="15.75" x14ac:dyDescent="0.25">
      <c r="B10" s="96">
        <v>2</v>
      </c>
      <c r="C10" s="88" t="s">
        <v>466</v>
      </c>
    </row>
    <row r="11" spans="2:3" ht="15.75" x14ac:dyDescent="0.25">
      <c r="B11" s="96"/>
      <c r="C11" s="88"/>
    </row>
    <row r="12" spans="2:3" ht="15.75" x14ac:dyDescent="0.25">
      <c r="B12" s="96">
        <v>3</v>
      </c>
      <c r="C12" s="88" t="s">
        <v>310</v>
      </c>
    </row>
    <row r="13" spans="2:3" ht="15.75" x14ac:dyDescent="0.25">
      <c r="B13" s="96"/>
      <c r="C13" s="88"/>
    </row>
    <row r="14" spans="2:3" ht="15.75" x14ac:dyDescent="0.25">
      <c r="B14" s="96">
        <v>4</v>
      </c>
      <c r="C14" s="88" t="s">
        <v>464</v>
      </c>
    </row>
    <row r="15" spans="2:3" ht="15.75" x14ac:dyDescent="0.25">
      <c r="B15" s="96"/>
      <c r="C15" s="88"/>
    </row>
    <row r="16" spans="2:3" ht="15.75" x14ac:dyDescent="0.25">
      <c r="B16" s="96">
        <v>5</v>
      </c>
      <c r="C16" s="88" t="s">
        <v>608</v>
      </c>
    </row>
    <row r="17" spans="2:3" ht="15.75" x14ac:dyDescent="0.25">
      <c r="B17" s="96"/>
      <c r="C17" s="88"/>
    </row>
    <row r="18" spans="2:3" ht="15.75" x14ac:dyDescent="0.25">
      <c r="B18" s="96">
        <v>6</v>
      </c>
      <c r="C18" s="88" t="s">
        <v>467</v>
      </c>
    </row>
    <row r="19" spans="2:3" ht="19.5" customHeight="1" x14ac:dyDescent="0.25">
      <c r="B19" s="96"/>
      <c r="C19" s="88" t="s">
        <v>523</v>
      </c>
    </row>
    <row r="20" spans="2:3" ht="15.75" x14ac:dyDescent="0.25">
      <c r="B20" s="96"/>
      <c r="C20" s="88" t="s">
        <v>465</v>
      </c>
    </row>
    <row r="21" spans="2:3" ht="15" x14ac:dyDescent="0.2">
      <c r="C21" s="88" t="s">
        <v>590</v>
      </c>
    </row>
    <row r="23" spans="2:3" s="377" customFormat="1" ht="90.75" x14ac:dyDescent="0.2">
      <c r="B23" s="376">
        <v>7</v>
      </c>
      <c r="C23" s="378" t="s">
        <v>809</v>
      </c>
    </row>
    <row r="24" spans="2:3" ht="15" x14ac:dyDescent="0.2">
      <c r="C24" s="88"/>
    </row>
    <row r="25" spans="2:3" ht="45.75" x14ac:dyDescent="0.25">
      <c r="B25" s="376">
        <v>8</v>
      </c>
      <c r="C25" s="399" t="s">
        <v>802</v>
      </c>
    </row>
    <row r="26" spans="2:3" ht="15.75" x14ac:dyDescent="0.25">
      <c r="B26" s="96"/>
      <c r="C26" s="89"/>
    </row>
    <row r="27" spans="2:3" ht="15.75" x14ac:dyDescent="0.25">
      <c r="B27" s="96">
        <v>9</v>
      </c>
      <c r="C27" s="88" t="s">
        <v>463</v>
      </c>
    </row>
    <row r="28" spans="2:3" ht="15.75" x14ac:dyDescent="0.25">
      <c r="B28" s="96"/>
      <c r="C28" s="90" t="s">
        <v>308</v>
      </c>
    </row>
  </sheetData>
  <sheetProtection password="C858" sheet="1" objects="1" scenarios="1"/>
  <phoneticPr fontId="13" type="noConversion"/>
  <hyperlinks>
    <hyperlink ref="C28" r:id="rId1"/>
  </hyperlinks>
  <pageMargins left="0.75" right="0.75" top="1" bottom="1" header="0.5" footer="0.5"/>
  <pageSetup paperSize="9" scale="82"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7"/>
  <sheetViews>
    <sheetView zoomScale="70" zoomScaleNormal="70" workbookViewId="0">
      <selection activeCell="K16" sqref="K16"/>
    </sheetView>
  </sheetViews>
  <sheetFormatPr defaultRowHeight="12.75" x14ac:dyDescent="0.2"/>
  <cols>
    <col min="2" max="2" width="9.140625" customWidth="1"/>
    <col min="3" max="3" width="18" customWidth="1"/>
    <col min="4" max="4" width="31.42578125" customWidth="1"/>
    <col min="5" max="6" width="9.140625" customWidth="1"/>
    <col min="7" max="7" width="13.7109375" customWidth="1"/>
    <col min="8" max="8" width="22.7109375" customWidth="1"/>
    <col min="9" max="9" width="9.140625" customWidth="1"/>
    <col min="10" max="10" width="13.5703125" customWidth="1"/>
    <col min="11" max="12" width="9.140625" customWidth="1"/>
  </cols>
  <sheetData>
    <row r="1" spans="1:13" ht="34.5" customHeight="1" x14ac:dyDescent="0.2">
      <c r="A1" s="391" t="s">
        <v>693</v>
      </c>
      <c r="B1" s="392"/>
      <c r="C1" s="392"/>
      <c r="D1" s="392"/>
      <c r="E1" s="392"/>
      <c r="F1" s="392"/>
      <c r="G1" s="392"/>
      <c r="H1" s="392"/>
      <c r="I1" s="392"/>
      <c r="J1" s="392"/>
      <c r="K1" s="392"/>
      <c r="L1" s="392"/>
      <c r="M1" s="392"/>
    </row>
    <row r="2" spans="1:13" ht="27.75" customHeight="1" x14ac:dyDescent="0.25">
      <c r="A2" s="386" t="s">
        <v>1397</v>
      </c>
      <c r="B2" s="386"/>
      <c r="C2" s="386"/>
      <c r="D2" s="95"/>
      <c r="E2" s="95"/>
      <c r="F2" s="387"/>
      <c r="G2" s="95"/>
      <c r="H2" s="352" t="s">
        <v>612</v>
      </c>
      <c r="I2" s="353"/>
      <c r="J2" s="353"/>
    </row>
    <row r="3" spans="1:13" x14ac:dyDescent="0.2">
      <c r="A3" s="207" t="s">
        <v>38</v>
      </c>
      <c r="B3" s="207" t="s">
        <v>525</v>
      </c>
      <c r="C3" s="207" t="s">
        <v>39</v>
      </c>
      <c r="D3" s="207" t="s">
        <v>40</v>
      </c>
      <c r="E3" s="281" t="s">
        <v>526</v>
      </c>
      <c r="F3" s="281" t="s">
        <v>380</v>
      </c>
      <c r="G3" s="281" t="s">
        <v>527</v>
      </c>
      <c r="H3" s="205"/>
      <c r="I3" s="353"/>
      <c r="J3" s="353" t="str">
        <f>G3</f>
        <v>DOB</v>
      </c>
    </row>
    <row r="4" spans="1:13" x14ac:dyDescent="0.2">
      <c r="A4" s="341" t="s">
        <v>36</v>
      </c>
      <c r="B4" s="341"/>
      <c r="C4" s="342"/>
      <c r="D4" s="341"/>
      <c r="E4" s="195"/>
      <c r="F4" s="195"/>
      <c r="G4" s="388"/>
      <c r="H4" s="388"/>
      <c r="I4" s="389"/>
      <c r="J4" s="389"/>
    </row>
    <row r="5" spans="1:13" x14ac:dyDescent="0.2">
      <c r="A5" s="341" t="s">
        <v>37</v>
      </c>
      <c r="B5" s="342"/>
      <c r="C5" s="342"/>
      <c r="D5" s="342"/>
      <c r="E5" s="195"/>
      <c r="F5" s="195"/>
      <c r="G5" s="388"/>
      <c r="H5" s="388"/>
      <c r="I5" s="389"/>
      <c r="J5" s="389"/>
    </row>
    <row r="6" spans="1:13" x14ac:dyDescent="0.2">
      <c r="A6" s="207">
        <v>1001</v>
      </c>
      <c r="B6" s="277" t="s">
        <v>46</v>
      </c>
      <c r="C6" s="207" t="s">
        <v>55</v>
      </c>
      <c r="D6" s="277" t="s">
        <v>1003</v>
      </c>
      <c r="E6" s="281">
        <v>319452</v>
      </c>
      <c r="F6" s="281"/>
      <c r="G6" s="282">
        <v>32202</v>
      </c>
      <c r="H6" s="351" t="str">
        <f>CONCATENATE(B6," ",C6)</f>
        <v>Alex Sutton</v>
      </c>
      <c r="I6" s="353">
        <f>A6</f>
        <v>1001</v>
      </c>
      <c r="J6" s="353">
        <f t="shared" ref="J6" si="0">G6</f>
        <v>32202</v>
      </c>
    </row>
    <row r="7" spans="1:13" x14ac:dyDescent="0.2">
      <c r="A7" s="207">
        <v>1002</v>
      </c>
      <c r="B7" s="207" t="s">
        <v>1024</v>
      </c>
      <c r="C7" s="207" t="s">
        <v>1025</v>
      </c>
      <c r="D7" s="207" t="s">
        <v>528</v>
      </c>
      <c r="E7" s="281"/>
      <c r="F7" s="281"/>
      <c r="G7" s="282">
        <v>0</v>
      </c>
      <c r="H7" s="351" t="str">
        <f t="shared" ref="H7:H35" si="1">CONCATENATE(B7," ",C7)</f>
        <v>DNS in 2016 !</v>
      </c>
      <c r="I7" s="353">
        <f t="shared" ref="I7:I35" si="2">A7</f>
        <v>1002</v>
      </c>
      <c r="J7" s="353">
        <f t="shared" ref="J7:J36" si="3">G7</f>
        <v>0</v>
      </c>
    </row>
    <row r="8" spans="1:13" x14ac:dyDescent="0.2">
      <c r="A8" s="207">
        <v>1003</v>
      </c>
      <c r="B8" s="207" t="s">
        <v>1026</v>
      </c>
      <c r="C8" s="207" t="s">
        <v>1027</v>
      </c>
      <c r="D8" s="207" t="s">
        <v>235</v>
      </c>
      <c r="E8" s="281">
        <v>0</v>
      </c>
      <c r="F8" s="281" t="s">
        <v>35</v>
      </c>
      <c r="G8" s="282">
        <v>38234</v>
      </c>
      <c r="H8" s="351" t="str">
        <f t="shared" si="1"/>
        <v>Hanna Belshaw</v>
      </c>
      <c r="I8" s="353">
        <f t="shared" si="2"/>
        <v>1003</v>
      </c>
      <c r="J8" s="353">
        <f t="shared" si="3"/>
        <v>38234</v>
      </c>
    </row>
    <row r="9" spans="1:13" x14ac:dyDescent="0.2">
      <c r="A9" s="214">
        <v>1004</v>
      </c>
      <c r="B9" s="276" t="s">
        <v>1028</v>
      </c>
      <c r="C9" s="214" t="s">
        <v>1029</v>
      </c>
      <c r="D9" s="214" t="s">
        <v>235</v>
      </c>
      <c r="E9" s="281">
        <v>0</v>
      </c>
      <c r="F9" s="281" t="s">
        <v>35</v>
      </c>
      <c r="G9" s="282">
        <v>38424</v>
      </c>
      <c r="H9" s="351" t="str">
        <f t="shared" si="1"/>
        <v>Catherine Carborn</v>
      </c>
      <c r="I9" s="353">
        <f t="shared" si="2"/>
        <v>1004</v>
      </c>
      <c r="J9" s="353">
        <f t="shared" si="3"/>
        <v>38424</v>
      </c>
    </row>
    <row r="10" spans="1:13" x14ac:dyDescent="0.2">
      <c r="A10" s="207">
        <v>1005</v>
      </c>
      <c r="B10" s="207" t="s">
        <v>106</v>
      </c>
      <c r="C10" s="207" t="s">
        <v>1030</v>
      </c>
      <c r="D10" s="207" t="s">
        <v>235</v>
      </c>
      <c r="E10" s="281"/>
      <c r="F10" s="281" t="s">
        <v>35</v>
      </c>
      <c r="G10" s="282">
        <v>38515</v>
      </c>
      <c r="H10" s="351" t="str">
        <f t="shared" si="1"/>
        <v>Harry Shrewring</v>
      </c>
      <c r="I10" s="353">
        <f t="shared" si="2"/>
        <v>1005</v>
      </c>
      <c r="J10" s="353">
        <f t="shared" si="3"/>
        <v>38515</v>
      </c>
    </row>
    <row r="11" spans="1:13" x14ac:dyDescent="0.2">
      <c r="A11" s="207">
        <v>1006</v>
      </c>
      <c r="B11" s="207" t="s">
        <v>96</v>
      </c>
      <c r="C11" s="207" t="s">
        <v>751</v>
      </c>
      <c r="D11" s="207" t="s">
        <v>235</v>
      </c>
      <c r="E11" s="281">
        <v>0</v>
      </c>
      <c r="F11" s="281"/>
      <c r="G11" s="282">
        <v>37770</v>
      </c>
      <c r="H11" s="351" t="str">
        <f t="shared" si="1"/>
        <v>Thomas Hawkins</v>
      </c>
      <c r="I11" s="353">
        <f t="shared" si="2"/>
        <v>1006</v>
      </c>
      <c r="J11" s="353">
        <f t="shared" si="3"/>
        <v>37770</v>
      </c>
    </row>
    <row r="12" spans="1:13" x14ac:dyDescent="0.2">
      <c r="A12" s="207">
        <v>1007</v>
      </c>
      <c r="B12" s="207" t="s">
        <v>1031</v>
      </c>
      <c r="C12" s="207" t="s">
        <v>1032</v>
      </c>
      <c r="D12" s="207" t="s">
        <v>235</v>
      </c>
      <c r="E12" s="281">
        <v>926588</v>
      </c>
      <c r="F12" s="281" t="s">
        <v>35</v>
      </c>
      <c r="G12" s="282">
        <v>24524</v>
      </c>
      <c r="H12" s="351" t="str">
        <f t="shared" si="1"/>
        <v>Jacquie Meechan</v>
      </c>
      <c r="I12" s="353">
        <f t="shared" si="2"/>
        <v>1007</v>
      </c>
      <c r="J12" s="353">
        <f t="shared" si="3"/>
        <v>24524</v>
      </c>
    </row>
    <row r="13" spans="1:13" x14ac:dyDescent="0.2">
      <c r="A13" s="207">
        <v>1008</v>
      </c>
      <c r="B13" s="207" t="s">
        <v>190</v>
      </c>
      <c r="C13" s="207" t="s">
        <v>1032</v>
      </c>
      <c r="D13" s="207" t="s">
        <v>235</v>
      </c>
      <c r="E13" s="281">
        <v>0</v>
      </c>
      <c r="F13" s="281"/>
      <c r="G13" s="282">
        <v>38374</v>
      </c>
      <c r="H13" s="351" t="str">
        <f t="shared" si="1"/>
        <v>Lewis Meechan</v>
      </c>
      <c r="I13" s="353">
        <f t="shared" si="2"/>
        <v>1008</v>
      </c>
      <c r="J13" s="353">
        <f t="shared" si="3"/>
        <v>38374</v>
      </c>
    </row>
    <row r="14" spans="1:13" x14ac:dyDescent="0.2">
      <c r="A14" s="207">
        <v>1009</v>
      </c>
      <c r="B14" s="207" t="s">
        <v>1033</v>
      </c>
      <c r="C14" s="207" t="s">
        <v>703</v>
      </c>
      <c r="D14" s="207" t="s">
        <v>235</v>
      </c>
      <c r="E14" s="281">
        <v>0</v>
      </c>
      <c r="F14" s="281"/>
      <c r="G14" s="282">
        <v>38591</v>
      </c>
      <c r="H14" s="351" t="str">
        <f t="shared" si="1"/>
        <v>Jude Rolfe</v>
      </c>
      <c r="I14" s="353">
        <f t="shared" si="2"/>
        <v>1009</v>
      </c>
      <c r="J14" s="353">
        <f t="shared" si="3"/>
        <v>38591</v>
      </c>
    </row>
    <row r="15" spans="1:13" x14ac:dyDescent="0.2">
      <c r="A15" s="207">
        <v>1010</v>
      </c>
      <c r="B15" s="207" t="s">
        <v>211</v>
      </c>
      <c r="C15" s="207" t="s">
        <v>239</v>
      </c>
      <c r="D15" s="207" t="s">
        <v>238</v>
      </c>
      <c r="E15" s="281">
        <v>288732</v>
      </c>
      <c r="F15" s="281"/>
      <c r="G15" s="282">
        <v>23139</v>
      </c>
      <c r="H15" s="351" t="str">
        <f t="shared" si="1"/>
        <v>Graham Morrison</v>
      </c>
      <c r="I15" s="353">
        <f t="shared" si="2"/>
        <v>1010</v>
      </c>
      <c r="J15" s="353">
        <f t="shared" si="3"/>
        <v>23139</v>
      </c>
    </row>
    <row r="16" spans="1:13" x14ac:dyDescent="0.2">
      <c r="A16" s="207">
        <v>1011</v>
      </c>
      <c r="B16" s="207" t="s">
        <v>126</v>
      </c>
      <c r="C16" s="207" t="s">
        <v>530</v>
      </c>
      <c r="D16" s="207" t="s">
        <v>238</v>
      </c>
      <c r="E16" s="281">
        <v>0</v>
      </c>
      <c r="F16" s="281" t="s">
        <v>35</v>
      </c>
      <c r="G16" s="282">
        <v>36451</v>
      </c>
      <c r="H16" s="351" t="str">
        <f t="shared" si="1"/>
        <v>Charlotte Huddart</v>
      </c>
      <c r="I16" s="353">
        <f t="shared" si="2"/>
        <v>1011</v>
      </c>
      <c r="J16" s="353">
        <f t="shared" si="3"/>
        <v>36451</v>
      </c>
    </row>
    <row r="17" spans="1:10" x14ac:dyDescent="0.2">
      <c r="A17" s="207">
        <v>1012</v>
      </c>
      <c r="B17" s="207" t="s">
        <v>547</v>
      </c>
      <c r="C17" s="207" t="s">
        <v>703</v>
      </c>
      <c r="D17" s="207" t="s">
        <v>238</v>
      </c>
      <c r="E17" s="281">
        <v>0</v>
      </c>
      <c r="F17" s="281" t="s">
        <v>35</v>
      </c>
      <c r="G17" s="282">
        <v>37541</v>
      </c>
      <c r="H17" s="351" t="str">
        <f t="shared" si="1"/>
        <v>Phoebe Rolfe</v>
      </c>
      <c r="I17" s="353">
        <f t="shared" si="2"/>
        <v>1012</v>
      </c>
      <c r="J17" s="353">
        <f t="shared" si="3"/>
        <v>37541</v>
      </c>
    </row>
    <row r="18" spans="1:10" x14ac:dyDescent="0.2">
      <c r="A18" s="207">
        <v>1013</v>
      </c>
      <c r="B18" s="207" t="s">
        <v>95</v>
      </c>
      <c r="C18" s="207" t="s">
        <v>1034</v>
      </c>
      <c r="D18" s="207" t="s">
        <v>1035</v>
      </c>
      <c r="E18" s="281">
        <v>0</v>
      </c>
      <c r="F18" s="281"/>
      <c r="G18" s="282">
        <v>38325</v>
      </c>
      <c r="H18" s="351" t="str">
        <f t="shared" si="1"/>
        <v>Michael Kornfeld</v>
      </c>
      <c r="I18" s="353">
        <f t="shared" si="2"/>
        <v>1013</v>
      </c>
      <c r="J18" s="353">
        <f t="shared" si="3"/>
        <v>38325</v>
      </c>
    </row>
    <row r="19" spans="1:10" x14ac:dyDescent="0.2">
      <c r="A19" s="207">
        <v>1014</v>
      </c>
      <c r="B19" s="207" t="s">
        <v>233</v>
      </c>
      <c r="C19" s="207" t="s">
        <v>234</v>
      </c>
      <c r="D19" s="207" t="s">
        <v>1035</v>
      </c>
      <c r="E19" s="281">
        <v>451662</v>
      </c>
      <c r="F19" s="281"/>
      <c r="G19" s="282">
        <v>22980</v>
      </c>
      <c r="H19" s="351" t="str">
        <f t="shared" si="1"/>
        <v>Quentin Lister</v>
      </c>
      <c r="I19" s="353">
        <f t="shared" si="2"/>
        <v>1014</v>
      </c>
      <c r="J19" s="353">
        <f t="shared" si="3"/>
        <v>22980</v>
      </c>
    </row>
    <row r="20" spans="1:10" x14ac:dyDescent="0.2">
      <c r="A20" s="207">
        <v>1015</v>
      </c>
      <c r="B20" s="207" t="s">
        <v>92</v>
      </c>
      <c r="C20" s="207" t="s">
        <v>146</v>
      </c>
      <c r="D20" s="207" t="s">
        <v>145</v>
      </c>
      <c r="E20" s="281">
        <v>657594</v>
      </c>
      <c r="F20" s="281"/>
      <c r="G20" s="282">
        <v>23793</v>
      </c>
      <c r="H20" s="351" t="str">
        <f t="shared" si="1"/>
        <v>Paul Carr</v>
      </c>
      <c r="I20" s="353">
        <f t="shared" si="2"/>
        <v>1015</v>
      </c>
      <c r="J20" s="353">
        <f t="shared" si="3"/>
        <v>23793</v>
      </c>
    </row>
    <row r="21" spans="1:10" x14ac:dyDescent="0.2">
      <c r="A21" s="207">
        <v>1016</v>
      </c>
      <c r="B21" s="207" t="s">
        <v>92</v>
      </c>
      <c r="C21" s="207" t="s">
        <v>150</v>
      </c>
      <c r="D21" s="207" t="s">
        <v>145</v>
      </c>
      <c r="E21" s="281">
        <v>182868</v>
      </c>
      <c r="F21" s="281"/>
      <c r="G21" s="282">
        <v>22284</v>
      </c>
      <c r="H21" s="351" t="str">
        <f t="shared" si="1"/>
        <v>Paul Fitchett</v>
      </c>
      <c r="I21" s="353">
        <f t="shared" si="2"/>
        <v>1016</v>
      </c>
      <c r="J21" s="353">
        <f t="shared" si="3"/>
        <v>22284</v>
      </c>
    </row>
    <row r="22" spans="1:10" x14ac:dyDescent="0.2">
      <c r="A22" s="207">
        <v>1017</v>
      </c>
      <c r="B22" s="207" t="s">
        <v>181</v>
      </c>
      <c r="C22" s="207" t="s">
        <v>871</v>
      </c>
      <c r="D22" s="207" t="s">
        <v>145</v>
      </c>
      <c r="E22" s="281">
        <v>286634</v>
      </c>
      <c r="F22" s="281"/>
      <c r="G22" s="282"/>
      <c r="H22" s="351" t="str">
        <f t="shared" si="1"/>
        <v>Jon Holloway</v>
      </c>
      <c r="I22" s="353">
        <f t="shared" si="2"/>
        <v>1017</v>
      </c>
      <c r="J22" s="353">
        <f t="shared" si="3"/>
        <v>0</v>
      </c>
    </row>
    <row r="23" spans="1:10" x14ac:dyDescent="0.2">
      <c r="A23" s="207">
        <v>1018</v>
      </c>
      <c r="B23" s="207" t="s">
        <v>58</v>
      </c>
      <c r="C23" s="207" t="s">
        <v>148</v>
      </c>
      <c r="D23" s="207" t="s">
        <v>145</v>
      </c>
      <c r="E23" s="281">
        <v>312661</v>
      </c>
      <c r="F23" s="281"/>
      <c r="G23" s="282"/>
      <c r="H23" s="351" t="str">
        <f t="shared" si="1"/>
        <v>John Williamson</v>
      </c>
      <c r="I23" s="353">
        <f t="shared" si="2"/>
        <v>1018</v>
      </c>
      <c r="J23" s="353">
        <f t="shared" si="3"/>
        <v>0</v>
      </c>
    </row>
    <row r="24" spans="1:10" x14ac:dyDescent="0.2">
      <c r="A24" s="207">
        <v>1019</v>
      </c>
      <c r="B24" s="207" t="s">
        <v>545</v>
      </c>
      <c r="C24" s="207" t="s">
        <v>148</v>
      </c>
      <c r="D24" s="207" t="s">
        <v>145</v>
      </c>
      <c r="E24" s="281">
        <v>261675</v>
      </c>
      <c r="F24" s="281" t="s">
        <v>35</v>
      </c>
      <c r="G24" s="282">
        <v>25263</v>
      </c>
      <c r="H24" s="351" t="str">
        <f t="shared" si="1"/>
        <v>Wend Williamson</v>
      </c>
      <c r="I24" s="353">
        <f t="shared" si="2"/>
        <v>1019</v>
      </c>
      <c r="J24" s="353">
        <f t="shared" si="3"/>
        <v>25263</v>
      </c>
    </row>
    <row r="25" spans="1:10" x14ac:dyDescent="0.2">
      <c r="A25" s="207">
        <v>1020</v>
      </c>
      <c r="B25" s="207" t="s">
        <v>135</v>
      </c>
      <c r="C25" s="207" t="s">
        <v>1036</v>
      </c>
      <c r="D25" s="207" t="s">
        <v>145</v>
      </c>
      <c r="E25" s="281">
        <v>0</v>
      </c>
      <c r="F25" s="281"/>
      <c r="G25" s="282">
        <v>38393</v>
      </c>
      <c r="H25" s="351" t="str">
        <f t="shared" si="1"/>
        <v>Jack Heales</v>
      </c>
      <c r="I25" s="353">
        <f t="shared" si="2"/>
        <v>1020</v>
      </c>
      <c r="J25" s="353">
        <f t="shared" si="3"/>
        <v>38393</v>
      </c>
    </row>
    <row r="26" spans="1:10" x14ac:dyDescent="0.2">
      <c r="A26" s="207">
        <v>1021</v>
      </c>
      <c r="B26" s="207" t="s">
        <v>1037</v>
      </c>
      <c r="C26" s="207" t="s">
        <v>1036</v>
      </c>
      <c r="D26" s="207" t="s">
        <v>145</v>
      </c>
      <c r="E26" s="281">
        <v>0</v>
      </c>
      <c r="F26" s="281"/>
      <c r="G26" s="282">
        <v>38393</v>
      </c>
      <c r="H26" s="351" t="str">
        <f t="shared" si="1"/>
        <v>Kit Heales</v>
      </c>
      <c r="I26" s="353">
        <f t="shared" si="2"/>
        <v>1021</v>
      </c>
      <c r="J26" s="353">
        <f t="shared" si="3"/>
        <v>38393</v>
      </c>
    </row>
    <row r="27" spans="1:10" x14ac:dyDescent="0.2">
      <c r="A27" s="207">
        <v>1022</v>
      </c>
      <c r="B27" s="207" t="s">
        <v>104</v>
      </c>
      <c r="C27" s="207" t="s">
        <v>716</v>
      </c>
      <c r="D27" s="207" t="s">
        <v>145</v>
      </c>
      <c r="E27" s="281">
        <v>0</v>
      </c>
      <c r="F27" s="281"/>
      <c r="G27" s="282">
        <v>37824</v>
      </c>
      <c r="H27" s="351" t="str">
        <f t="shared" si="1"/>
        <v>Ben Little</v>
      </c>
      <c r="I27" s="353">
        <f t="shared" si="2"/>
        <v>1022</v>
      </c>
      <c r="J27" s="353">
        <f t="shared" si="3"/>
        <v>37824</v>
      </c>
    </row>
    <row r="28" spans="1:10" x14ac:dyDescent="0.2">
      <c r="A28" s="207">
        <v>1023</v>
      </c>
      <c r="B28" s="207" t="s">
        <v>630</v>
      </c>
      <c r="C28" s="207" t="s">
        <v>631</v>
      </c>
      <c r="D28" s="207" t="s">
        <v>145</v>
      </c>
      <c r="E28" s="281">
        <v>909563</v>
      </c>
      <c r="F28" s="281" t="s">
        <v>35</v>
      </c>
      <c r="G28" s="282"/>
      <c r="H28" s="351" t="str">
        <f t="shared" si="1"/>
        <v>Theresa Page</v>
      </c>
      <c r="I28" s="353">
        <f t="shared" si="2"/>
        <v>1023</v>
      </c>
      <c r="J28" s="353">
        <f t="shared" si="3"/>
        <v>0</v>
      </c>
    </row>
    <row r="29" spans="1:10" x14ac:dyDescent="0.2">
      <c r="A29" s="207">
        <v>1024</v>
      </c>
      <c r="B29" s="277" t="s">
        <v>106</v>
      </c>
      <c r="C29" s="207" t="s">
        <v>144</v>
      </c>
      <c r="D29" s="207" t="s">
        <v>145</v>
      </c>
      <c r="E29" s="281">
        <v>0</v>
      </c>
      <c r="F29" s="281"/>
      <c r="G29" s="282">
        <v>38223</v>
      </c>
      <c r="H29" s="351" t="str">
        <f t="shared" si="1"/>
        <v>Harry Prescott</v>
      </c>
      <c r="I29" s="353">
        <f t="shared" si="2"/>
        <v>1024</v>
      </c>
      <c r="J29" s="353">
        <f t="shared" si="3"/>
        <v>38223</v>
      </c>
    </row>
    <row r="30" spans="1:10" x14ac:dyDescent="0.2">
      <c r="A30" s="207">
        <v>1025</v>
      </c>
      <c r="B30" s="207" t="s">
        <v>210</v>
      </c>
      <c r="C30" s="207" t="s">
        <v>1038</v>
      </c>
      <c r="D30" s="207" t="s">
        <v>145</v>
      </c>
      <c r="E30" s="281">
        <v>0</v>
      </c>
      <c r="F30" s="281"/>
      <c r="G30" s="282">
        <v>38030</v>
      </c>
      <c r="H30" s="351" t="str">
        <f t="shared" si="1"/>
        <v>Louis St John-Smith</v>
      </c>
      <c r="I30" s="353">
        <f t="shared" si="2"/>
        <v>1025</v>
      </c>
      <c r="J30" s="353">
        <f t="shared" si="3"/>
        <v>38030</v>
      </c>
    </row>
    <row r="31" spans="1:10" x14ac:dyDescent="0.2">
      <c r="A31" s="207">
        <v>1026</v>
      </c>
      <c r="B31" s="207" t="s">
        <v>96</v>
      </c>
      <c r="C31" s="207" t="s">
        <v>1039</v>
      </c>
      <c r="D31" s="207" t="s">
        <v>145</v>
      </c>
      <c r="E31" s="281">
        <v>0</v>
      </c>
      <c r="F31" s="281"/>
      <c r="G31" s="282">
        <v>38368</v>
      </c>
      <c r="H31" s="351" t="str">
        <f t="shared" si="1"/>
        <v>Thomas Tasso</v>
      </c>
      <c r="I31" s="353">
        <f t="shared" si="2"/>
        <v>1026</v>
      </c>
      <c r="J31" s="353">
        <f t="shared" si="3"/>
        <v>38368</v>
      </c>
    </row>
    <row r="32" spans="1:10" x14ac:dyDescent="0.2">
      <c r="A32" s="207">
        <v>1027</v>
      </c>
      <c r="B32" s="207" t="s">
        <v>61</v>
      </c>
      <c r="C32" s="207" t="s">
        <v>870</v>
      </c>
      <c r="D32" s="207" t="s">
        <v>145</v>
      </c>
      <c r="E32" s="281">
        <v>0</v>
      </c>
      <c r="F32" s="281"/>
      <c r="G32" s="282">
        <v>38036</v>
      </c>
      <c r="H32" s="351" t="str">
        <f t="shared" si="1"/>
        <v>Jonathan Webb</v>
      </c>
      <c r="I32" s="353">
        <f t="shared" si="2"/>
        <v>1027</v>
      </c>
      <c r="J32" s="353">
        <f t="shared" si="3"/>
        <v>38036</v>
      </c>
    </row>
    <row r="33" spans="1:10" x14ac:dyDescent="0.2">
      <c r="A33" s="207">
        <v>1028</v>
      </c>
      <c r="B33" s="207" t="s">
        <v>126</v>
      </c>
      <c r="C33" s="207" t="s">
        <v>549</v>
      </c>
      <c r="D33" s="207" t="s">
        <v>145</v>
      </c>
      <c r="E33" s="281">
        <v>0</v>
      </c>
      <c r="F33" s="281" t="s">
        <v>35</v>
      </c>
      <c r="G33" s="282">
        <v>37846</v>
      </c>
      <c r="H33" s="351" t="str">
        <f t="shared" si="1"/>
        <v>Charlotte Whiteman</v>
      </c>
      <c r="I33" s="353">
        <f t="shared" si="2"/>
        <v>1028</v>
      </c>
      <c r="J33" s="353">
        <f t="shared" si="3"/>
        <v>37846</v>
      </c>
    </row>
    <row r="34" spans="1:10" x14ac:dyDescent="0.2">
      <c r="A34" s="207">
        <v>1029</v>
      </c>
      <c r="B34" s="207" t="s">
        <v>717</v>
      </c>
      <c r="C34" s="207" t="s">
        <v>718</v>
      </c>
      <c r="D34" s="207" t="s">
        <v>142</v>
      </c>
      <c r="E34" s="281">
        <v>0</v>
      </c>
      <c r="F34" s="281"/>
      <c r="G34" s="282">
        <v>37231</v>
      </c>
      <c r="H34" s="351" t="str">
        <f t="shared" si="1"/>
        <v>Felix Chadwick-Histed</v>
      </c>
      <c r="I34" s="353">
        <f t="shared" si="2"/>
        <v>1029</v>
      </c>
      <c r="J34" s="353">
        <f t="shared" si="3"/>
        <v>37231</v>
      </c>
    </row>
    <row r="35" spans="1:10" x14ac:dyDescent="0.2">
      <c r="A35" s="207">
        <v>1030</v>
      </c>
      <c r="B35" s="207" t="s">
        <v>173</v>
      </c>
      <c r="C35" s="207" t="s">
        <v>495</v>
      </c>
      <c r="D35" s="207" t="s">
        <v>142</v>
      </c>
      <c r="E35" s="281">
        <v>0</v>
      </c>
      <c r="F35" s="281" t="s">
        <v>35</v>
      </c>
      <c r="G35" s="282">
        <v>36384</v>
      </c>
      <c r="H35" s="351" t="str">
        <f t="shared" si="1"/>
        <v>Ella Linden</v>
      </c>
      <c r="I35" s="353">
        <f t="shared" si="2"/>
        <v>1030</v>
      </c>
      <c r="J35" s="353">
        <f t="shared" si="3"/>
        <v>36384</v>
      </c>
    </row>
    <row r="36" spans="1:10" x14ac:dyDescent="0.2">
      <c r="A36" s="207">
        <v>1031</v>
      </c>
      <c r="B36" s="207" t="s">
        <v>502</v>
      </c>
      <c r="C36" s="207" t="s">
        <v>873</v>
      </c>
      <c r="D36" s="207" t="s">
        <v>142</v>
      </c>
      <c r="E36" s="281">
        <v>0</v>
      </c>
      <c r="F36" s="281" t="s">
        <v>35</v>
      </c>
      <c r="G36" s="282">
        <v>36495</v>
      </c>
      <c r="H36" s="351" t="str">
        <f>CONCATENATE(B36," ",C36)</f>
        <v>Clare Mckay</v>
      </c>
      <c r="I36" s="353">
        <f>A36</f>
        <v>1031</v>
      </c>
      <c r="J36" s="353">
        <f t="shared" si="3"/>
        <v>36495</v>
      </c>
    </row>
    <row r="37" spans="1:10" x14ac:dyDescent="0.2">
      <c r="A37" s="207">
        <v>1032</v>
      </c>
      <c r="B37" s="207" t="s">
        <v>219</v>
      </c>
      <c r="C37" s="207" t="s">
        <v>70</v>
      </c>
      <c r="D37" s="207" t="s">
        <v>142</v>
      </c>
      <c r="E37" s="281">
        <v>0</v>
      </c>
      <c r="F37" s="281"/>
      <c r="G37" s="282">
        <v>36490</v>
      </c>
      <c r="H37" s="351" t="str">
        <f t="shared" ref="H37:H72" si="4">CONCATENATE(B37," ",C37)</f>
        <v>Ollie Smith</v>
      </c>
      <c r="I37" s="353">
        <f t="shared" ref="I37:I72" si="5">A37</f>
        <v>1032</v>
      </c>
      <c r="J37" s="353">
        <f t="shared" ref="J37:J72" si="6">G37</f>
        <v>36490</v>
      </c>
    </row>
    <row r="38" spans="1:10" x14ac:dyDescent="0.2">
      <c r="A38" s="207">
        <v>1033</v>
      </c>
      <c r="B38" s="207" t="s">
        <v>628</v>
      </c>
      <c r="C38" s="207" t="s">
        <v>629</v>
      </c>
      <c r="D38" s="207" t="s">
        <v>142</v>
      </c>
      <c r="E38" s="281">
        <v>0</v>
      </c>
      <c r="F38" s="281"/>
      <c r="G38" s="282">
        <v>37137</v>
      </c>
      <c r="H38" s="351" t="str">
        <f t="shared" si="4"/>
        <v>Dom Westgarth</v>
      </c>
      <c r="I38" s="353">
        <f t="shared" si="5"/>
        <v>1033</v>
      </c>
      <c r="J38" s="353">
        <f t="shared" si="6"/>
        <v>37137</v>
      </c>
    </row>
    <row r="39" spans="1:10" x14ac:dyDescent="0.2">
      <c r="A39" s="207">
        <v>1034</v>
      </c>
      <c r="B39" s="207" t="s">
        <v>543</v>
      </c>
      <c r="C39" s="207" t="s">
        <v>544</v>
      </c>
      <c r="D39" s="207" t="s">
        <v>142</v>
      </c>
      <c r="E39" s="281">
        <v>0</v>
      </c>
      <c r="F39" s="281"/>
      <c r="G39" s="282">
        <v>36756</v>
      </c>
      <c r="H39" s="351" t="str">
        <f t="shared" si="4"/>
        <v>Mickey Wherry</v>
      </c>
      <c r="I39" s="353">
        <f t="shared" si="5"/>
        <v>1034</v>
      </c>
      <c r="J39" s="353">
        <f t="shared" si="6"/>
        <v>36756</v>
      </c>
    </row>
    <row r="40" spans="1:10" x14ac:dyDescent="0.2">
      <c r="A40" s="207">
        <v>1035</v>
      </c>
      <c r="B40" s="207" t="s">
        <v>46</v>
      </c>
      <c r="C40" s="207" t="s">
        <v>869</v>
      </c>
      <c r="D40" s="207" t="s">
        <v>142</v>
      </c>
      <c r="E40" s="281">
        <v>0</v>
      </c>
      <c r="F40" s="281"/>
      <c r="G40" s="282">
        <v>37451</v>
      </c>
      <c r="H40" s="351" t="str">
        <f t="shared" si="4"/>
        <v>Alex Murdoch</v>
      </c>
      <c r="I40" s="353">
        <f t="shared" si="5"/>
        <v>1035</v>
      </c>
      <c r="J40" s="353">
        <f t="shared" si="6"/>
        <v>37451</v>
      </c>
    </row>
    <row r="41" spans="1:10" x14ac:dyDescent="0.2">
      <c r="A41" s="207">
        <v>1036</v>
      </c>
      <c r="B41" s="207" t="s">
        <v>49</v>
      </c>
      <c r="C41" s="207" t="s">
        <v>635</v>
      </c>
      <c r="D41" s="207" t="s">
        <v>1040</v>
      </c>
      <c r="E41" s="281">
        <v>284911</v>
      </c>
      <c r="F41" s="281"/>
      <c r="G41" s="282">
        <v>31866</v>
      </c>
      <c r="H41" s="351" t="str">
        <f t="shared" si="4"/>
        <v>James Cannam</v>
      </c>
      <c r="I41" s="353">
        <f t="shared" si="5"/>
        <v>1036</v>
      </c>
      <c r="J41" s="353">
        <f t="shared" si="6"/>
        <v>31866</v>
      </c>
    </row>
    <row r="42" spans="1:10" x14ac:dyDescent="0.2">
      <c r="A42" s="207">
        <v>1037</v>
      </c>
      <c r="B42" s="207" t="s">
        <v>872</v>
      </c>
      <c r="C42" s="207" t="s">
        <v>884</v>
      </c>
      <c r="D42" s="207" t="s">
        <v>1040</v>
      </c>
      <c r="E42" s="281">
        <v>0</v>
      </c>
      <c r="F42" s="281"/>
      <c r="G42" s="282">
        <v>37720</v>
      </c>
      <c r="H42" s="351" t="str">
        <f t="shared" si="4"/>
        <v>Jacob Bassford</v>
      </c>
      <c r="I42" s="353">
        <f t="shared" si="5"/>
        <v>1037</v>
      </c>
      <c r="J42" s="353">
        <f t="shared" si="6"/>
        <v>37720</v>
      </c>
    </row>
    <row r="43" spans="1:10" x14ac:dyDescent="0.2">
      <c r="A43" s="207">
        <v>1038</v>
      </c>
      <c r="B43" s="207" t="s">
        <v>165</v>
      </c>
      <c r="C43" s="207" t="s">
        <v>546</v>
      </c>
      <c r="D43" s="207" t="s">
        <v>1040</v>
      </c>
      <c r="E43" s="281">
        <v>0</v>
      </c>
      <c r="F43" s="281" t="s">
        <v>35</v>
      </c>
      <c r="G43" s="282">
        <v>36278</v>
      </c>
      <c r="H43" s="351" t="str">
        <f t="shared" si="4"/>
        <v>Emma Bown</v>
      </c>
      <c r="I43" s="353">
        <f t="shared" si="5"/>
        <v>1038</v>
      </c>
      <c r="J43" s="353">
        <f t="shared" si="6"/>
        <v>36278</v>
      </c>
    </row>
    <row r="44" spans="1:10" x14ac:dyDescent="0.2">
      <c r="A44" s="207">
        <v>1039</v>
      </c>
      <c r="B44" s="207" t="s">
        <v>722</v>
      </c>
      <c r="C44" s="207" t="s">
        <v>705</v>
      </c>
      <c r="D44" s="207" t="s">
        <v>1040</v>
      </c>
      <c r="E44" s="281">
        <v>0</v>
      </c>
      <c r="F44" s="281" t="s">
        <v>35</v>
      </c>
      <c r="G44" s="282">
        <v>36276</v>
      </c>
      <c r="H44" s="351" t="str">
        <f t="shared" si="4"/>
        <v>Charis Bull</v>
      </c>
      <c r="I44" s="353">
        <f t="shared" si="5"/>
        <v>1039</v>
      </c>
      <c r="J44" s="353">
        <f t="shared" si="6"/>
        <v>36276</v>
      </c>
    </row>
    <row r="45" spans="1:10" x14ac:dyDescent="0.2">
      <c r="A45" s="207">
        <v>1040</v>
      </c>
      <c r="B45" s="207" t="s">
        <v>135</v>
      </c>
      <c r="C45" s="207" t="s">
        <v>492</v>
      </c>
      <c r="D45" s="207" t="s">
        <v>1040</v>
      </c>
      <c r="E45" s="281">
        <v>11941019</v>
      </c>
      <c r="F45" s="281"/>
      <c r="G45" s="282">
        <v>35835</v>
      </c>
      <c r="H45" s="351" t="str">
        <f t="shared" si="4"/>
        <v>Jack Cousins</v>
      </c>
      <c r="I45" s="353">
        <f t="shared" si="5"/>
        <v>1040</v>
      </c>
      <c r="J45" s="353">
        <f t="shared" si="6"/>
        <v>35835</v>
      </c>
    </row>
    <row r="46" spans="1:10" x14ac:dyDescent="0.2">
      <c r="A46" s="207">
        <v>1041</v>
      </c>
      <c r="B46" s="207" t="s">
        <v>170</v>
      </c>
      <c r="C46" s="207" t="s">
        <v>883</v>
      </c>
      <c r="D46" s="207" t="s">
        <v>1040</v>
      </c>
      <c r="E46" s="281">
        <v>0</v>
      </c>
      <c r="F46" s="281"/>
      <c r="G46" s="282">
        <v>36370</v>
      </c>
      <c r="H46" s="351" t="str">
        <f t="shared" si="4"/>
        <v>Isaac Gandy</v>
      </c>
      <c r="I46" s="353">
        <f t="shared" si="5"/>
        <v>1041</v>
      </c>
      <c r="J46" s="353">
        <f t="shared" si="6"/>
        <v>36370</v>
      </c>
    </row>
    <row r="47" spans="1:10" x14ac:dyDescent="0.2">
      <c r="A47" s="207">
        <v>1042</v>
      </c>
      <c r="B47" s="207" t="s">
        <v>547</v>
      </c>
      <c r="C47" s="207" t="s">
        <v>883</v>
      </c>
      <c r="D47" s="207" t="s">
        <v>1040</v>
      </c>
      <c r="E47" s="281">
        <v>0</v>
      </c>
      <c r="F47" s="281" t="s">
        <v>35</v>
      </c>
      <c r="G47" s="282">
        <v>36962</v>
      </c>
      <c r="H47" s="351" t="str">
        <f t="shared" si="4"/>
        <v>Phoebe Gandy</v>
      </c>
      <c r="I47" s="353">
        <f t="shared" si="5"/>
        <v>1042</v>
      </c>
      <c r="J47" s="353">
        <f t="shared" si="6"/>
        <v>36962</v>
      </c>
    </row>
    <row r="48" spans="1:10" x14ac:dyDescent="0.2">
      <c r="A48" s="207">
        <v>1043</v>
      </c>
      <c r="B48" s="207" t="s">
        <v>101</v>
      </c>
      <c r="C48" s="207" t="s">
        <v>710</v>
      </c>
      <c r="D48" s="207" t="s">
        <v>157</v>
      </c>
      <c r="E48" s="281">
        <v>11901410</v>
      </c>
      <c r="F48" s="281"/>
      <c r="G48" s="282"/>
      <c r="H48" s="351" t="str">
        <f t="shared" si="4"/>
        <v>Andy Jordan</v>
      </c>
      <c r="I48" s="353">
        <f t="shared" si="5"/>
        <v>1043</v>
      </c>
      <c r="J48" s="353">
        <f t="shared" si="6"/>
        <v>0</v>
      </c>
    </row>
    <row r="49" spans="1:10" x14ac:dyDescent="0.2">
      <c r="A49" s="207">
        <v>1044</v>
      </c>
      <c r="B49" s="207" t="s">
        <v>1041</v>
      </c>
      <c r="C49" s="207" t="s">
        <v>882</v>
      </c>
      <c r="D49" s="207" t="s">
        <v>1040</v>
      </c>
      <c r="E49" s="281">
        <v>0</v>
      </c>
      <c r="F49" s="281" t="s">
        <v>35</v>
      </c>
      <c r="G49" s="282">
        <v>38348</v>
      </c>
      <c r="H49" s="351" t="str">
        <f t="shared" si="4"/>
        <v>Ellen Horsler</v>
      </c>
      <c r="I49" s="353">
        <f t="shared" si="5"/>
        <v>1044</v>
      </c>
      <c r="J49" s="353">
        <f t="shared" si="6"/>
        <v>38348</v>
      </c>
    </row>
    <row r="50" spans="1:10" x14ac:dyDescent="0.2">
      <c r="A50" s="207">
        <v>1045</v>
      </c>
      <c r="B50" s="207" t="s">
        <v>655</v>
      </c>
      <c r="C50" s="207" t="s">
        <v>882</v>
      </c>
      <c r="D50" s="207" t="s">
        <v>1040</v>
      </c>
      <c r="E50" s="281">
        <v>0</v>
      </c>
      <c r="F50" s="281" t="s">
        <v>35</v>
      </c>
      <c r="G50" s="282">
        <v>37696</v>
      </c>
      <c r="H50" s="351" t="str">
        <f t="shared" si="4"/>
        <v>Rebecca Horsler</v>
      </c>
      <c r="I50" s="353">
        <f t="shared" si="5"/>
        <v>1045</v>
      </c>
      <c r="J50" s="353">
        <f t="shared" si="6"/>
        <v>37696</v>
      </c>
    </row>
    <row r="51" spans="1:10" x14ac:dyDescent="0.2">
      <c r="A51" s="207">
        <v>1046</v>
      </c>
      <c r="B51" s="207" t="s">
        <v>133</v>
      </c>
      <c r="C51" s="207" t="s">
        <v>490</v>
      </c>
      <c r="D51" s="207" t="s">
        <v>1040</v>
      </c>
      <c r="E51" s="281">
        <v>0</v>
      </c>
      <c r="F51" s="281"/>
      <c r="G51" s="282">
        <v>38700</v>
      </c>
      <c r="H51" s="351" t="str">
        <f t="shared" si="4"/>
        <v>Adam Malin</v>
      </c>
      <c r="I51" s="353">
        <f t="shared" si="5"/>
        <v>1046</v>
      </c>
      <c r="J51" s="353">
        <f t="shared" si="6"/>
        <v>38700</v>
      </c>
    </row>
    <row r="52" spans="1:10" x14ac:dyDescent="0.2">
      <c r="A52" s="207">
        <v>1047</v>
      </c>
      <c r="B52" s="207" t="s">
        <v>163</v>
      </c>
      <c r="C52" s="207" t="s">
        <v>490</v>
      </c>
      <c r="D52" s="207" t="s">
        <v>1040</v>
      </c>
      <c r="E52" s="281">
        <v>0</v>
      </c>
      <c r="F52" s="281" t="s">
        <v>35</v>
      </c>
      <c r="G52" s="282">
        <v>36089</v>
      </c>
      <c r="H52" s="351" t="str">
        <f t="shared" si="4"/>
        <v>Elizabeth Malin</v>
      </c>
      <c r="I52" s="353">
        <f t="shared" si="5"/>
        <v>1047</v>
      </c>
      <c r="J52" s="353">
        <f t="shared" si="6"/>
        <v>36089</v>
      </c>
    </row>
    <row r="53" spans="1:10" x14ac:dyDescent="0.2">
      <c r="A53" s="207">
        <v>1048</v>
      </c>
      <c r="B53" s="207" t="s">
        <v>1042</v>
      </c>
      <c r="C53" s="207" t="s">
        <v>1043</v>
      </c>
      <c r="D53" s="207" t="s">
        <v>1040</v>
      </c>
      <c r="E53" s="281">
        <v>0</v>
      </c>
      <c r="F53" s="281" t="s">
        <v>35</v>
      </c>
      <c r="G53" s="282">
        <v>37111</v>
      </c>
      <c r="H53" s="351" t="str">
        <f t="shared" si="4"/>
        <v>Arabella Rawisinski</v>
      </c>
      <c r="I53" s="353">
        <f t="shared" si="5"/>
        <v>1048</v>
      </c>
      <c r="J53" s="353">
        <f t="shared" si="6"/>
        <v>37111</v>
      </c>
    </row>
    <row r="54" spans="1:10" x14ac:dyDescent="0.2">
      <c r="A54" s="207">
        <v>1049</v>
      </c>
      <c r="B54" s="207" t="s">
        <v>67</v>
      </c>
      <c r="C54" s="207" t="s">
        <v>1044</v>
      </c>
      <c r="D54" s="207" t="s">
        <v>1040</v>
      </c>
      <c r="E54" s="281">
        <v>0</v>
      </c>
      <c r="F54" s="281"/>
      <c r="G54" s="282">
        <v>38115</v>
      </c>
      <c r="H54" s="351" t="str">
        <f t="shared" si="4"/>
        <v>Edward Shipley</v>
      </c>
      <c r="I54" s="353">
        <f t="shared" si="5"/>
        <v>1049</v>
      </c>
      <c r="J54" s="353">
        <f t="shared" si="6"/>
        <v>38115</v>
      </c>
    </row>
    <row r="55" spans="1:10" x14ac:dyDescent="0.2">
      <c r="A55" s="207">
        <v>1050</v>
      </c>
      <c r="B55" s="207" t="s">
        <v>721</v>
      </c>
      <c r="C55" s="207" t="s">
        <v>213</v>
      </c>
      <c r="D55" s="207" t="s">
        <v>1040</v>
      </c>
      <c r="E55" s="281">
        <v>0</v>
      </c>
      <c r="F55" s="281" t="s">
        <v>35</v>
      </c>
      <c r="G55" s="282">
        <v>37619</v>
      </c>
      <c r="H55" s="351" t="str">
        <f t="shared" si="4"/>
        <v>Ashlyn Simmons</v>
      </c>
      <c r="I55" s="353">
        <f t="shared" si="5"/>
        <v>1050</v>
      </c>
      <c r="J55" s="353">
        <f t="shared" si="6"/>
        <v>37619</v>
      </c>
    </row>
    <row r="56" spans="1:10" x14ac:dyDescent="0.2">
      <c r="A56" s="207">
        <v>1051</v>
      </c>
      <c r="B56" s="207" t="s">
        <v>1045</v>
      </c>
      <c r="C56" s="207" t="s">
        <v>1046</v>
      </c>
      <c r="D56" s="207" t="s">
        <v>1047</v>
      </c>
      <c r="E56" s="281">
        <v>0</v>
      </c>
      <c r="F56" s="281" t="s">
        <v>35</v>
      </c>
      <c r="G56" s="282">
        <v>37416</v>
      </c>
      <c r="H56" s="351" t="str">
        <f t="shared" si="4"/>
        <v>Victoria Semak</v>
      </c>
      <c r="I56" s="353">
        <f t="shared" si="5"/>
        <v>1051</v>
      </c>
      <c r="J56" s="353">
        <f t="shared" si="6"/>
        <v>37416</v>
      </c>
    </row>
    <row r="57" spans="1:10" x14ac:dyDescent="0.2">
      <c r="A57" s="207">
        <v>1052</v>
      </c>
      <c r="B57" s="207" t="s">
        <v>699</v>
      </c>
      <c r="C57" s="207" t="s">
        <v>719</v>
      </c>
      <c r="D57" s="207" t="s">
        <v>1048</v>
      </c>
      <c r="E57" s="281">
        <v>0</v>
      </c>
      <c r="F57" s="281" t="s">
        <v>35</v>
      </c>
      <c r="G57" s="282">
        <v>37110</v>
      </c>
      <c r="H57" s="351" t="str">
        <f t="shared" si="4"/>
        <v>Lauren Buckler</v>
      </c>
      <c r="I57" s="353">
        <f t="shared" si="5"/>
        <v>1052</v>
      </c>
      <c r="J57" s="353">
        <f t="shared" si="6"/>
        <v>37110</v>
      </c>
    </row>
    <row r="58" spans="1:10" x14ac:dyDescent="0.2">
      <c r="A58" s="207">
        <v>1053</v>
      </c>
      <c r="B58" s="207" t="s">
        <v>133</v>
      </c>
      <c r="C58" s="207" t="s">
        <v>99</v>
      </c>
      <c r="D58" s="207" t="s">
        <v>1048</v>
      </c>
      <c r="E58" s="281">
        <v>0</v>
      </c>
      <c r="F58" s="281"/>
      <c r="G58" s="282">
        <v>36951</v>
      </c>
      <c r="H58" s="351" t="str">
        <f t="shared" si="4"/>
        <v>Adam Oliver</v>
      </c>
      <c r="I58" s="353">
        <f t="shared" si="5"/>
        <v>1053</v>
      </c>
      <c r="J58" s="353">
        <f t="shared" si="6"/>
        <v>36951</v>
      </c>
    </row>
    <row r="59" spans="1:10" x14ac:dyDescent="0.2">
      <c r="A59" s="207">
        <v>1054</v>
      </c>
      <c r="B59" s="207" t="s">
        <v>119</v>
      </c>
      <c r="C59" s="207" t="s">
        <v>99</v>
      </c>
      <c r="D59" s="207" t="s">
        <v>1048</v>
      </c>
      <c r="E59" s="281">
        <v>0</v>
      </c>
      <c r="F59" s="281"/>
      <c r="G59" s="282">
        <v>37637</v>
      </c>
      <c r="H59" s="351" t="str">
        <f t="shared" si="4"/>
        <v>William Oliver</v>
      </c>
      <c r="I59" s="353">
        <f t="shared" si="5"/>
        <v>1054</v>
      </c>
      <c r="J59" s="353">
        <f t="shared" si="6"/>
        <v>37637</v>
      </c>
    </row>
    <row r="60" spans="1:10" x14ac:dyDescent="0.2">
      <c r="A60" s="207">
        <v>1055</v>
      </c>
      <c r="B60" s="207" t="s">
        <v>119</v>
      </c>
      <c r="C60" s="207" t="s">
        <v>720</v>
      </c>
      <c r="D60" s="207" t="s">
        <v>1049</v>
      </c>
      <c r="E60" s="281">
        <v>0</v>
      </c>
      <c r="F60" s="281"/>
      <c r="G60" s="282">
        <v>37253</v>
      </c>
      <c r="H60" s="351" t="str">
        <f t="shared" si="4"/>
        <v>William Orton</v>
      </c>
      <c r="I60" s="353">
        <f t="shared" si="5"/>
        <v>1055</v>
      </c>
      <c r="J60" s="353">
        <f t="shared" si="6"/>
        <v>37253</v>
      </c>
    </row>
    <row r="61" spans="1:10" x14ac:dyDescent="0.2">
      <c r="A61" s="207">
        <v>1056</v>
      </c>
      <c r="B61" s="207" t="s">
        <v>170</v>
      </c>
      <c r="C61" s="207" t="s">
        <v>723</v>
      </c>
      <c r="D61" s="207" t="s">
        <v>885</v>
      </c>
      <c r="E61" s="281">
        <v>0</v>
      </c>
      <c r="F61" s="281"/>
      <c r="G61" s="282">
        <v>36461</v>
      </c>
      <c r="H61" s="351" t="str">
        <f t="shared" si="4"/>
        <v>Isaac Mackley</v>
      </c>
      <c r="I61" s="353">
        <f t="shared" si="5"/>
        <v>1056</v>
      </c>
      <c r="J61" s="353">
        <f t="shared" si="6"/>
        <v>36461</v>
      </c>
    </row>
    <row r="62" spans="1:10" x14ac:dyDescent="0.2">
      <c r="A62" s="207">
        <v>1057</v>
      </c>
      <c r="B62" s="207" t="s">
        <v>80</v>
      </c>
      <c r="C62" s="207" t="s">
        <v>723</v>
      </c>
      <c r="D62" s="207" t="s">
        <v>885</v>
      </c>
      <c r="E62" s="281">
        <v>11951024</v>
      </c>
      <c r="F62" s="281"/>
      <c r="G62" s="282">
        <v>35845</v>
      </c>
      <c r="H62" s="351" t="str">
        <f t="shared" si="4"/>
        <v>Joshua Mackley</v>
      </c>
      <c r="I62" s="353">
        <f t="shared" si="5"/>
        <v>1057</v>
      </c>
      <c r="J62" s="353">
        <f t="shared" si="6"/>
        <v>35845</v>
      </c>
    </row>
    <row r="63" spans="1:10" x14ac:dyDescent="0.2">
      <c r="A63" s="207">
        <v>1058</v>
      </c>
      <c r="B63" s="207" t="s">
        <v>69</v>
      </c>
      <c r="C63" s="207" t="s">
        <v>634</v>
      </c>
      <c r="D63" s="207" t="s">
        <v>154</v>
      </c>
      <c r="E63" s="281">
        <v>240344</v>
      </c>
      <c r="F63" s="281"/>
      <c r="G63" s="282">
        <v>22992</v>
      </c>
      <c r="H63" s="351" t="str">
        <f t="shared" si="4"/>
        <v>David Clemow</v>
      </c>
      <c r="I63" s="353">
        <f t="shared" si="5"/>
        <v>1058</v>
      </c>
      <c r="J63" s="353">
        <f t="shared" si="6"/>
        <v>22992</v>
      </c>
    </row>
    <row r="64" spans="1:10" x14ac:dyDescent="0.2">
      <c r="A64" s="207">
        <v>1059</v>
      </c>
      <c r="B64" s="207" t="s">
        <v>92</v>
      </c>
      <c r="C64" s="207" t="s">
        <v>153</v>
      </c>
      <c r="D64" s="207" t="s">
        <v>154</v>
      </c>
      <c r="E64" s="281">
        <v>15587</v>
      </c>
      <c r="F64" s="281"/>
      <c r="G64" s="282">
        <v>20910</v>
      </c>
      <c r="H64" s="351" t="str">
        <f t="shared" si="4"/>
        <v>Paul Adams</v>
      </c>
      <c r="I64" s="353">
        <f t="shared" si="5"/>
        <v>1059</v>
      </c>
      <c r="J64" s="353">
        <f t="shared" si="6"/>
        <v>20910</v>
      </c>
    </row>
    <row r="65" spans="1:10" x14ac:dyDescent="0.2">
      <c r="A65" s="207">
        <v>1060</v>
      </c>
      <c r="B65" s="207" t="s">
        <v>197</v>
      </c>
      <c r="C65" s="207" t="s">
        <v>519</v>
      </c>
      <c r="D65" s="207" t="s">
        <v>654</v>
      </c>
      <c r="E65" s="281">
        <v>0</v>
      </c>
      <c r="F65" s="281"/>
      <c r="G65" s="282">
        <v>36904</v>
      </c>
      <c r="H65" s="351" t="str">
        <f t="shared" si="4"/>
        <v>Alexander Atkinson</v>
      </c>
      <c r="I65" s="353">
        <f t="shared" si="5"/>
        <v>1060</v>
      </c>
      <c r="J65" s="353">
        <f t="shared" si="6"/>
        <v>36904</v>
      </c>
    </row>
    <row r="66" spans="1:10" x14ac:dyDescent="0.2">
      <c r="A66" s="207">
        <v>1061</v>
      </c>
      <c r="B66" s="207" t="s">
        <v>119</v>
      </c>
      <c r="C66" s="207" t="s">
        <v>519</v>
      </c>
      <c r="D66" s="207" t="s">
        <v>654</v>
      </c>
      <c r="E66" s="281">
        <v>0</v>
      </c>
      <c r="F66" s="281"/>
      <c r="G66" s="282">
        <v>36414</v>
      </c>
      <c r="H66" s="351" t="str">
        <f t="shared" si="4"/>
        <v>William Atkinson</v>
      </c>
      <c r="I66" s="353">
        <f t="shared" si="5"/>
        <v>1061</v>
      </c>
      <c r="J66" s="353">
        <f t="shared" si="6"/>
        <v>36414</v>
      </c>
    </row>
    <row r="67" spans="1:10" x14ac:dyDescent="0.2">
      <c r="A67" s="207">
        <v>1062</v>
      </c>
      <c r="B67" s="207" t="s">
        <v>195</v>
      </c>
      <c r="C67" s="207" t="s">
        <v>496</v>
      </c>
      <c r="D67" s="207" t="s">
        <v>654</v>
      </c>
      <c r="E67" s="281">
        <v>0</v>
      </c>
      <c r="F67" s="281"/>
      <c r="G67" s="282">
        <v>36512</v>
      </c>
      <c r="H67" s="351" t="str">
        <f t="shared" si="4"/>
        <v>Joel Boucher</v>
      </c>
      <c r="I67" s="353">
        <f t="shared" si="5"/>
        <v>1062</v>
      </c>
      <c r="J67" s="353">
        <f t="shared" si="6"/>
        <v>36512</v>
      </c>
    </row>
    <row r="68" spans="1:10" x14ac:dyDescent="0.2">
      <c r="A68" s="207">
        <v>1063</v>
      </c>
      <c r="B68" s="207" t="s">
        <v>197</v>
      </c>
      <c r="C68" s="207" t="s">
        <v>696</v>
      </c>
      <c r="D68" s="207" t="s">
        <v>654</v>
      </c>
      <c r="E68" s="281">
        <v>0</v>
      </c>
      <c r="F68" s="281"/>
      <c r="G68" s="282">
        <v>36983</v>
      </c>
      <c r="H68" s="351" t="str">
        <f t="shared" si="4"/>
        <v>Alexander Evans</v>
      </c>
      <c r="I68" s="353">
        <f t="shared" si="5"/>
        <v>1063</v>
      </c>
      <c r="J68" s="353">
        <f t="shared" si="6"/>
        <v>36983</v>
      </c>
    </row>
    <row r="69" spans="1:10" x14ac:dyDescent="0.2">
      <c r="A69" s="207">
        <v>1064</v>
      </c>
      <c r="B69" s="207" t="s">
        <v>49</v>
      </c>
      <c r="C69" s="207" t="s">
        <v>550</v>
      </c>
      <c r="D69" s="207" t="s">
        <v>654</v>
      </c>
      <c r="E69" s="281">
        <v>0</v>
      </c>
      <c r="F69" s="281"/>
      <c r="G69" s="282">
        <v>36985</v>
      </c>
      <c r="H69" s="351" t="str">
        <f t="shared" si="4"/>
        <v>James Liller</v>
      </c>
      <c r="I69" s="353">
        <f t="shared" si="5"/>
        <v>1064</v>
      </c>
      <c r="J69" s="353">
        <f t="shared" si="6"/>
        <v>36985</v>
      </c>
    </row>
    <row r="70" spans="1:10" x14ac:dyDescent="0.2">
      <c r="A70" s="207">
        <v>1065</v>
      </c>
      <c r="B70" s="207" t="s">
        <v>67</v>
      </c>
      <c r="C70" s="207" t="s">
        <v>867</v>
      </c>
      <c r="D70" s="207" t="s">
        <v>654</v>
      </c>
      <c r="E70" s="281">
        <v>0</v>
      </c>
      <c r="F70" s="281"/>
      <c r="G70" s="282">
        <v>36573</v>
      </c>
      <c r="H70" s="351" t="str">
        <f t="shared" si="4"/>
        <v>Edward Munroe-Martin</v>
      </c>
      <c r="I70" s="353">
        <f t="shared" si="5"/>
        <v>1065</v>
      </c>
      <c r="J70" s="353">
        <f t="shared" si="6"/>
        <v>36573</v>
      </c>
    </row>
    <row r="71" spans="1:10" x14ac:dyDescent="0.2">
      <c r="A71" s="207">
        <v>1066</v>
      </c>
      <c r="B71" s="207" t="s">
        <v>133</v>
      </c>
      <c r="C71" s="207" t="s">
        <v>868</v>
      </c>
      <c r="D71" s="207" t="s">
        <v>654</v>
      </c>
      <c r="E71" s="281">
        <v>0</v>
      </c>
      <c r="F71" s="281"/>
      <c r="G71" s="282">
        <v>36763</v>
      </c>
      <c r="H71" s="351" t="str">
        <f t="shared" si="4"/>
        <v>Adam Peer</v>
      </c>
      <c r="I71" s="353">
        <f t="shared" si="5"/>
        <v>1066</v>
      </c>
      <c r="J71" s="353">
        <f t="shared" si="6"/>
        <v>36763</v>
      </c>
    </row>
    <row r="72" spans="1:10" x14ac:dyDescent="0.2">
      <c r="A72" s="207">
        <v>1067</v>
      </c>
      <c r="B72" s="207" t="s">
        <v>59</v>
      </c>
      <c r="C72" s="207" t="s">
        <v>161</v>
      </c>
      <c r="D72" s="207" t="s">
        <v>654</v>
      </c>
      <c r="E72" s="281">
        <v>0</v>
      </c>
      <c r="F72" s="281"/>
      <c r="G72" s="282">
        <v>36565</v>
      </c>
      <c r="H72" s="351" t="str">
        <f t="shared" si="4"/>
        <v>Andrew Richardson</v>
      </c>
      <c r="I72" s="353">
        <f t="shared" si="5"/>
        <v>1067</v>
      </c>
      <c r="J72" s="353">
        <f t="shared" si="6"/>
        <v>36565</v>
      </c>
    </row>
    <row r="73" spans="1:10" x14ac:dyDescent="0.2">
      <c r="A73" s="207">
        <v>1068</v>
      </c>
      <c r="B73" s="207" t="s">
        <v>107</v>
      </c>
      <c r="C73" s="207" t="s">
        <v>161</v>
      </c>
      <c r="D73" s="207" t="s">
        <v>654</v>
      </c>
      <c r="E73" s="281">
        <v>0</v>
      </c>
      <c r="F73" s="281"/>
      <c r="G73" s="282">
        <v>36565</v>
      </c>
      <c r="H73" s="351" t="str">
        <f t="shared" ref="H73:H136" si="7">CONCATENATE(B73," ",C73)</f>
        <v>Ian Richardson</v>
      </c>
      <c r="I73" s="353">
        <f t="shared" ref="I73:I136" si="8">A73</f>
        <v>1068</v>
      </c>
      <c r="J73" s="353">
        <f t="shared" ref="J73:J136" si="9">G73</f>
        <v>36565</v>
      </c>
    </row>
    <row r="74" spans="1:10" x14ac:dyDescent="0.2">
      <c r="A74" s="207">
        <v>1069</v>
      </c>
      <c r="B74" s="207" t="s">
        <v>124</v>
      </c>
      <c r="C74" s="207" t="s">
        <v>189</v>
      </c>
      <c r="D74" s="207" t="s">
        <v>654</v>
      </c>
      <c r="E74" s="281">
        <v>278298</v>
      </c>
      <c r="F74" s="281"/>
      <c r="G74" s="282">
        <v>20994</v>
      </c>
      <c r="H74" s="351" t="str">
        <f t="shared" si="7"/>
        <v>Mike Wharf</v>
      </c>
      <c r="I74" s="353">
        <f t="shared" si="8"/>
        <v>1069</v>
      </c>
      <c r="J74" s="353">
        <f t="shared" si="9"/>
        <v>20994</v>
      </c>
    </row>
    <row r="75" spans="1:10" x14ac:dyDescent="0.2">
      <c r="A75" s="207">
        <v>1070</v>
      </c>
      <c r="B75" s="207" t="s">
        <v>86</v>
      </c>
      <c r="C75" s="207" t="s">
        <v>935</v>
      </c>
      <c r="D75" s="207" t="s">
        <v>1050</v>
      </c>
      <c r="E75" s="281"/>
      <c r="F75" s="281"/>
      <c r="G75" s="282">
        <v>37209</v>
      </c>
      <c r="H75" s="351" t="str">
        <f t="shared" si="7"/>
        <v>Katie Parr</v>
      </c>
      <c r="I75" s="353">
        <f t="shared" si="8"/>
        <v>1070</v>
      </c>
      <c r="J75" s="353">
        <f t="shared" si="9"/>
        <v>37209</v>
      </c>
    </row>
    <row r="76" spans="1:10" x14ac:dyDescent="0.2">
      <c r="A76" s="207">
        <v>1071</v>
      </c>
      <c r="B76" s="207" t="s">
        <v>1051</v>
      </c>
      <c r="C76" s="207" t="s">
        <v>153</v>
      </c>
      <c r="D76" s="207" t="s">
        <v>1052</v>
      </c>
      <c r="E76" s="281">
        <v>656346</v>
      </c>
      <c r="F76" s="281"/>
      <c r="G76" s="282">
        <v>22819</v>
      </c>
      <c r="H76" s="351" t="str">
        <f t="shared" si="7"/>
        <v>Huw Adams</v>
      </c>
      <c r="I76" s="353">
        <f t="shared" si="8"/>
        <v>1071</v>
      </c>
      <c r="J76" s="353">
        <f t="shared" si="9"/>
        <v>22819</v>
      </c>
    </row>
    <row r="77" spans="1:10" x14ac:dyDescent="0.2">
      <c r="A77" s="207">
        <v>1072</v>
      </c>
      <c r="B77" s="207" t="s">
        <v>45</v>
      </c>
      <c r="C77" s="207" t="s">
        <v>1053</v>
      </c>
      <c r="D77" s="207" t="s">
        <v>1052</v>
      </c>
      <c r="E77" s="281">
        <v>716920</v>
      </c>
      <c r="F77" s="281"/>
      <c r="G77" s="282">
        <v>35148</v>
      </c>
      <c r="H77" s="351" t="str">
        <f t="shared" si="7"/>
        <v>Charlie Anning - Phillips</v>
      </c>
      <c r="I77" s="353">
        <f t="shared" si="8"/>
        <v>1072</v>
      </c>
      <c r="J77" s="353">
        <f t="shared" si="9"/>
        <v>35148</v>
      </c>
    </row>
    <row r="78" spans="1:10" x14ac:dyDescent="0.2">
      <c r="A78" s="207">
        <v>1073</v>
      </c>
      <c r="B78" s="207" t="s">
        <v>57</v>
      </c>
      <c r="C78" s="207" t="s">
        <v>1054</v>
      </c>
      <c r="D78" s="207" t="s">
        <v>1052</v>
      </c>
      <c r="E78" s="281">
        <v>275220</v>
      </c>
      <c r="F78" s="281"/>
      <c r="G78" s="282">
        <v>23821</v>
      </c>
      <c r="H78" s="351" t="str">
        <f t="shared" si="7"/>
        <v>Dave Carpenter</v>
      </c>
      <c r="I78" s="353">
        <f t="shared" si="8"/>
        <v>1073</v>
      </c>
      <c r="J78" s="353">
        <f t="shared" si="9"/>
        <v>23821</v>
      </c>
    </row>
    <row r="79" spans="1:10" x14ac:dyDescent="0.2">
      <c r="A79" s="207">
        <v>1074</v>
      </c>
      <c r="B79" s="207" t="s">
        <v>1055</v>
      </c>
      <c r="C79" s="207" t="s">
        <v>1054</v>
      </c>
      <c r="D79" s="207" t="s">
        <v>1052</v>
      </c>
      <c r="E79" s="281">
        <v>726580</v>
      </c>
      <c r="F79" s="281" t="s">
        <v>35</v>
      </c>
      <c r="G79" s="282">
        <v>26772</v>
      </c>
      <c r="H79" s="351" t="str">
        <f t="shared" si="7"/>
        <v>Donna Carpenter</v>
      </c>
      <c r="I79" s="353">
        <f t="shared" si="8"/>
        <v>1074</v>
      </c>
      <c r="J79" s="353">
        <f t="shared" si="9"/>
        <v>26772</v>
      </c>
    </row>
    <row r="80" spans="1:10" x14ac:dyDescent="0.2">
      <c r="A80" s="207">
        <v>1075</v>
      </c>
      <c r="B80" s="207" t="s">
        <v>1056</v>
      </c>
      <c r="C80" s="207" t="s">
        <v>1057</v>
      </c>
      <c r="D80" s="207" t="s">
        <v>1052</v>
      </c>
      <c r="E80" s="281">
        <v>297255</v>
      </c>
      <c r="F80" s="281"/>
      <c r="G80" s="282">
        <v>19993</v>
      </c>
      <c r="H80" s="351" t="str">
        <f t="shared" si="7"/>
        <v>Richie Phillips</v>
      </c>
      <c r="I80" s="353">
        <f t="shared" si="8"/>
        <v>1075</v>
      </c>
      <c r="J80" s="353">
        <f t="shared" si="9"/>
        <v>19993</v>
      </c>
    </row>
    <row r="81" spans="1:10" x14ac:dyDescent="0.2">
      <c r="A81" s="207">
        <v>1076</v>
      </c>
      <c r="B81" s="207" t="s">
        <v>529</v>
      </c>
      <c r="C81" s="207" t="s">
        <v>1058</v>
      </c>
      <c r="D81" s="207" t="s">
        <v>1059</v>
      </c>
      <c r="E81" s="281">
        <v>0</v>
      </c>
      <c r="F81" s="281"/>
      <c r="G81" s="282">
        <v>37401</v>
      </c>
      <c r="H81" s="351" t="str">
        <f t="shared" si="7"/>
        <v>Ethan Celinski</v>
      </c>
      <c r="I81" s="353">
        <f t="shared" si="8"/>
        <v>1076</v>
      </c>
      <c r="J81" s="353">
        <f t="shared" si="9"/>
        <v>37401</v>
      </c>
    </row>
    <row r="82" spans="1:10" x14ac:dyDescent="0.2">
      <c r="A82" s="207">
        <v>1077</v>
      </c>
      <c r="B82" s="207" t="s">
        <v>1060</v>
      </c>
      <c r="C82" s="207" t="s">
        <v>1061</v>
      </c>
      <c r="D82" s="207" t="s">
        <v>1059</v>
      </c>
      <c r="E82" s="281">
        <v>0</v>
      </c>
      <c r="F82" s="281"/>
      <c r="G82" s="282">
        <v>36706</v>
      </c>
      <c r="H82" s="351" t="str">
        <f t="shared" si="7"/>
        <v>Connor Hansford</v>
      </c>
      <c r="I82" s="353">
        <f t="shared" si="8"/>
        <v>1077</v>
      </c>
      <c r="J82" s="353">
        <f t="shared" si="9"/>
        <v>36706</v>
      </c>
    </row>
    <row r="83" spans="1:10" x14ac:dyDescent="0.2">
      <c r="A83" s="207">
        <v>1078</v>
      </c>
      <c r="B83" s="207" t="s">
        <v>119</v>
      </c>
      <c r="C83" s="207" t="s">
        <v>81</v>
      </c>
      <c r="D83" s="207" t="s">
        <v>1059</v>
      </c>
      <c r="E83" s="281">
        <v>0</v>
      </c>
      <c r="F83" s="281"/>
      <c r="G83" s="282">
        <v>37328</v>
      </c>
      <c r="H83" s="351" t="str">
        <f t="shared" si="7"/>
        <v>William Jones</v>
      </c>
      <c r="I83" s="353">
        <f t="shared" si="8"/>
        <v>1078</v>
      </c>
      <c r="J83" s="353">
        <f t="shared" si="9"/>
        <v>37328</v>
      </c>
    </row>
    <row r="84" spans="1:10" x14ac:dyDescent="0.2">
      <c r="A84" s="207">
        <v>1079</v>
      </c>
      <c r="B84" s="207" t="s">
        <v>129</v>
      </c>
      <c r="C84" s="207" t="s">
        <v>1062</v>
      </c>
      <c r="D84" s="207" t="s">
        <v>1059</v>
      </c>
      <c r="E84" s="281">
        <v>0</v>
      </c>
      <c r="F84" s="281"/>
      <c r="G84" s="282">
        <v>38474</v>
      </c>
      <c r="H84" s="351" t="str">
        <f t="shared" si="7"/>
        <v>Tom Kelly</v>
      </c>
      <c r="I84" s="353">
        <f t="shared" si="8"/>
        <v>1079</v>
      </c>
      <c r="J84" s="353">
        <f t="shared" si="9"/>
        <v>38474</v>
      </c>
    </row>
    <row r="85" spans="1:10" x14ac:dyDescent="0.2">
      <c r="A85" s="207">
        <v>1080</v>
      </c>
      <c r="B85" s="207" t="s">
        <v>117</v>
      </c>
      <c r="C85" s="207" t="s">
        <v>1063</v>
      </c>
      <c r="D85" s="207" t="s">
        <v>1059</v>
      </c>
      <c r="E85" s="281">
        <v>0</v>
      </c>
      <c r="F85" s="281"/>
      <c r="G85" s="282">
        <v>38048</v>
      </c>
      <c r="H85" s="351" t="str">
        <f t="shared" si="7"/>
        <v>Chris Moles</v>
      </c>
      <c r="I85" s="353">
        <f t="shared" si="8"/>
        <v>1080</v>
      </c>
      <c r="J85" s="353">
        <f t="shared" si="9"/>
        <v>38048</v>
      </c>
    </row>
    <row r="86" spans="1:10" x14ac:dyDescent="0.2">
      <c r="A86" s="207">
        <v>1081</v>
      </c>
      <c r="B86" s="207" t="s">
        <v>176</v>
      </c>
      <c r="C86" s="207" t="s">
        <v>1064</v>
      </c>
      <c r="D86" s="207" t="s">
        <v>1059</v>
      </c>
      <c r="E86" s="281">
        <v>0</v>
      </c>
      <c r="F86" s="281"/>
      <c r="G86" s="282">
        <v>36167</v>
      </c>
      <c r="H86" s="351" t="str">
        <f t="shared" si="7"/>
        <v>Benjamin Passfield</v>
      </c>
      <c r="I86" s="353">
        <f t="shared" si="8"/>
        <v>1081</v>
      </c>
      <c r="J86" s="353">
        <f t="shared" si="9"/>
        <v>36167</v>
      </c>
    </row>
    <row r="87" spans="1:10" x14ac:dyDescent="0.2">
      <c r="A87" s="207">
        <v>1082</v>
      </c>
      <c r="B87" s="207" t="s">
        <v>166</v>
      </c>
      <c r="C87" s="207" t="s">
        <v>167</v>
      </c>
      <c r="D87" s="207" t="s">
        <v>633</v>
      </c>
      <c r="E87" s="281">
        <v>196593</v>
      </c>
      <c r="F87" s="281"/>
      <c r="G87" s="282"/>
      <c r="H87" s="351" t="str">
        <f t="shared" si="7"/>
        <v>Glynn Dallen</v>
      </c>
      <c r="I87" s="353">
        <f t="shared" si="8"/>
        <v>1082</v>
      </c>
      <c r="J87" s="353">
        <f t="shared" si="9"/>
        <v>0</v>
      </c>
    </row>
    <row r="88" spans="1:10" x14ac:dyDescent="0.2">
      <c r="A88" s="207">
        <v>1083</v>
      </c>
      <c r="B88" s="207" t="s">
        <v>888</v>
      </c>
      <c r="C88" s="207" t="s">
        <v>889</v>
      </c>
      <c r="D88" s="207" t="s">
        <v>633</v>
      </c>
      <c r="E88" s="281">
        <v>11803742</v>
      </c>
      <c r="F88" s="281" t="s">
        <v>35</v>
      </c>
      <c r="G88" s="282">
        <v>35195</v>
      </c>
      <c r="H88" s="351" t="str">
        <f t="shared" si="7"/>
        <v>Suzy Shuttleworth</v>
      </c>
      <c r="I88" s="353">
        <f t="shared" si="8"/>
        <v>1083</v>
      </c>
      <c r="J88" s="353">
        <f t="shared" si="9"/>
        <v>35195</v>
      </c>
    </row>
    <row r="89" spans="1:10" x14ac:dyDescent="0.2">
      <c r="A89" s="207">
        <v>1084</v>
      </c>
      <c r="B89" s="207" t="s">
        <v>118</v>
      </c>
      <c r="C89" s="207" t="s">
        <v>90</v>
      </c>
      <c r="D89" s="207" t="s">
        <v>633</v>
      </c>
      <c r="E89" s="281">
        <v>870531</v>
      </c>
      <c r="F89" s="281"/>
      <c r="G89" s="282">
        <v>34398</v>
      </c>
      <c r="H89" s="351" t="str">
        <f t="shared" si="7"/>
        <v>Mitchell Skilton</v>
      </c>
      <c r="I89" s="353">
        <f t="shared" si="8"/>
        <v>1084</v>
      </c>
      <c r="J89" s="353">
        <f t="shared" si="9"/>
        <v>34398</v>
      </c>
    </row>
    <row r="90" spans="1:10" x14ac:dyDescent="0.2">
      <c r="A90" s="207">
        <v>1085</v>
      </c>
      <c r="B90" s="207" t="s">
        <v>103</v>
      </c>
      <c r="C90" s="207" t="s">
        <v>704</v>
      </c>
      <c r="D90" s="207" t="s">
        <v>633</v>
      </c>
      <c r="E90" s="281">
        <v>0</v>
      </c>
      <c r="F90" s="281"/>
      <c r="G90" s="282">
        <v>37660</v>
      </c>
      <c r="H90" s="351" t="str">
        <f t="shared" si="7"/>
        <v>Nathan Baptiste</v>
      </c>
      <c r="I90" s="353">
        <f t="shared" si="8"/>
        <v>1085</v>
      </c>
      <c r="J90" s="353">
        <f t="shared" si="9"/>
        <v>37660</v>
      </c>
    </row>
    <row r="91" spans="1:10" x14ac:dyDescent="0.2">
      <c r="A91" s="207">
        <v>1086</v>
      </c>
      <c r="B91" s="207" t="s">
        <v>49</v>
      </c>
      <c r="C91" s="207" t="s">
        <v>711</v>
      </c>
      <c r="D91" s="207" t="s">
        <v>633</v>
      </c>
      <c r="E91" s="281">
        <v>0</v>
      </c>
      <c r="F91" s="281"/>
      <c r="G91" s="282">
        <v>37076</v>
      </c>
      <c r="H91" s="351" t="str">
        <f t="shared" si="7"/>
        <v>James Burton</v>
      </c>
      <c r="I91" s="353">
        <f t="shared" si="8"/>
        <v>1086</v>
      </c>
      <c r="J91" s="353">
        <f t="shared" si="9"/>
        <v>37076</v>
      </c>
    </row>
    <row r="92" spans="1:10" x14ac:dyDescent="0.2">
      <c r="A92" s="207">
        <v>1087</v>
      </c>
      <c r="B92" s="207" t="s">
        <v>80</v>
      </c>
      <c r="C92" s="207" t="s">
        <v>548</v>
      </c>
      <c r="D92" s="207" t="s">
        <v>633</v>
      </c>
      <c r="E92" s="281">
        <v>0</v>
      </c>
      <c r="F92" s="281"/>
      <c r="G92" s="282">
        <v>37389</v>
      </c>
      <c r="H92" s="351" t="str">
        <f t="shared" si="7"/>
        <v>Joshua Gall</v>
      </c>
      <c r="I92" s="353">
        <f t="shared" si="8"/>
        <v>1087</v>
      </c>
      <c r="J92" s="353">
        <f t="shared" si="9"/>
        <v>37389</v>
      </c>
    </row>
    <row r="93" spans="1:10" x14ac:dyDescent="0.2">
      <c r="A93" s="207">
        <v>1088</v>
      </c>
      <c r="B93" s="207" t="s">
        <v>82</v>
      </c>
      <c r="C93" s="207" t="s">
        <v>548</v>
      </c>
      <c r="D93" s="207" t="s">
        <v>633</v>
      </c>
      <c r="E93" s="281">
        <v>0</v>
      </c>
      <c r="F93" s="281"/>
      <c r="G93" s="282">
        <v>36565</v>
      </c>
      <c r="H93" s="351" t="str">
        <f t="shared" si="7"/>
        <v>Kieran Gall</v>
      </c>
      <c r="I93" s="353">
        <f t="shared" si="8"/>
        <v>1088</v>
      </c>
      <c r="J93" s="353">
        <f t="shared" si="9"/>
        <v>36565</v>
      </c>
    </row>
    <row r="94" spans="1:10" x14ac:dyDescent="0.2">
      <c r="A94" s="207">
        <v>1089</v>
      </c>
      <c r="B94" s="207" t="s">
        <v>49</v>
      </c>
      <c r="C94" s="207" t="s">
        <v>886</v>
      </c>
      <c r="D94" s="207" t="s">
        <v>633</v>
      </c>
      <c r="E94" s="281">
        <v>0</v>
      </c>
      <c r="F94" s="281"/>
      <c r="G94" s="282">
        <v>37650</v>
      </c>
      <c r="H94" s="351" t="str">
        <f t="shared" si="7"/>
        <v>James Goldsmith</v>
      </c>
      <c r="I94" s="353">
        <f t="shared" si="8"/>
        <v>1089</v>
      </c>
      <c r="J94" s="353">
        <f t="shared" si="9"/>
        <v>37650</v>
      </c>
    </row>
    <row r="95" spans="1:10" x14ac:dyDescent="0.2">
      <c r="A95" s="207">
        <v>1090</v>
      </c>
      <c r="B95" s="207" t="s">
        <v>706</v>
      </c>
      <c r="C95" s="207" t="s">
        <v>707</v>
      </c>
      <c r="D95" s="207" t="s">
        <v>633</v>
      </c>
      <c r="E95" s="281">
        <v>0</v>
      </c>
      <c r="F95" s="281"/>
      <c r="G95" s="282">
        <v>37133</v>
      </c>
      <c r="H95" s="351" t="str">
        <f t="shared" si="7"/>
        <v>Jasper Hill-Bennett</v>
      </c>
      <c r="I95" s="353">
        <f t="shared" si="8"/>
        <v>1090</v>
      </c>
      <c r="J95" s="353">
        <f t="shared" si="9"/>
        <v>37133</v>
      </c>
    </row>
    <row r="96" spans="1:10" x14ac:dyDescent="0.2">
      <c r="A96" s="207">
        <v>1091</v>
      </c>
      <c r="B96" s="207" t="s">
        <v>49</v>
      </c>
      <c r="C96" s="207" t="s">
        <v>708</v>
      </c>
      <c r="D96" s="207" t="s">
        <v>633</v>
      </c>
      <c r="E96" s="281">
        <v>0</v>
      </c>
      <c r="F96" s="281"/>
      <c r="G96" s="282">
        <v>36767</v>
      </c>
      <c r="H96" s="351" t="str">
        <f t="shared" si="7"/>
        <v>James Miller</v>
      </c>
      <c r="I96" s="353">
        <f t="shared" si="8"/>
        <v>1091</v>
      </c>
      <c r="J96" s="353">
        <f t="shared" si="9"/>
        <v>36767</v>
      </c>
    </row>
    <row r="97" spans="1:10" x14ac:dyDescent="0.2">
      <c r="A97" s="207">
        <v>1092</v>
      </c>
      <c r="B97" s="207" t="s">
        <v>165</v>
      </c>
      <c r="C97" s="207" t="s">
        <v>164</v>
      </c>
      <c r="D97" s="207" t="s">
        <v>633</v>
      </c>
      <c r="E97" s="281">
        <v>0</v>
      </c>
      <c r="F97" s="281" t="s">
        <v>35</v>
      </c>
      <c r="G97" s="282">
        <v>36677</v>
      </c>
      <c r="H97" s="351" t="str">
        <f t="shared" si="7"/>
        <v>Emma O'Neill</v>
      </c>
      <c r="I97" s="353">
        <f t="shared" si="8"/>
        <v>1092</v>
      </c>
      <c r="J97" s="353">
        <f t="shared" si="9"/>
        <v>36677</v>
      </c>
    </row>
    <row r="98" spans="1:10" x14ac:dyDescent="0.2">
      <c r="A98" s="207">
        <v>1093</v>
      </c>
      <c r="B98" s="207" t="s">
        <v>104</v>
      </c>
      <c r="C98" s="207" t="s">
        <v>494</v>
      </c>
      <c r="D98" s="207" t="s">
        <v>633</v>
      </c>
      <c r="E98" s="281">
        <v>0</v>
      </c>
      <c r="F98" s="281"/>
      <c r="G98" s="282">
        <v>38379</v>
      </c>
      <c r="H98" s="351" t="str">
        <f t="shared" si="7"/>
        <v>Ben Pagden</v>
      </c>
      <c r="I98" s="353">
        <f t="shared" si="8"/>
        <v>1093</v>
      </c>
      <c r="J98" s="353">
        <f t="shared" si="9"/>
        <v>38379</v>
      </c>
    </row>
    <row r="99" spans="1:10" x14ac:dyDescent="0.2">
      <c r="A99" s="207">
        <v>1094</v>
      </c>
      <c r="B99" s="207" t="s">
        <v>179</v>
      </c>
      <c r="C99" s="207" t="s">
        <v>494</v>
      </c>
      <c r="D99" s="207" t="s">
        <v>633</v>
      </c>
      <c r="E99" s="281">
        <v>0</v>
      </c>
      <c r="F99" s="281"/>
      <c r="G99" s="282">
        <v>36301</v>
      </c>
      <c r="H99" s="351" t="str">
        <f t="shared" si="7"/>
        <v>Jake Pagden</v>
      </c>
      <c r="I99" s="353">
        <f t="shared" si="8"/>
        <v>1094</v>
      </c>
      <c r="J99" s="353">
        <f t="shared" si="9"/>
        <v>36301</v>
      </c>
    </row>
    <row r="100" spans="1:10" x14ac:dyDescent="0.2">
      <c r="A100" s="207">
        <v>1095</v>
      </c>
      <c r="B100" s="207" t="s">
        <v>75</v>
      </c>
      <c r="C100" s="207" t="s">
        <v>887</v>
      </c>
      <c r="D100" s="207" t="s">
        <v>633</v>
      </c>
      <c r="E100" s="281">
        <v>0</v>
      </c>
      <c r="F100" s="281"/>
      <c r="G100" s="282">
        <v>37259</v>
      </c>
      <c r="H100" s="351" t="str">
        <f t="shared" si="7"/>
        <v>Luke Watkinson</v>
      </c>
      <c r="I100" s="353">
        <f t="shared" si="8"/>
        <v>1095</v>
      </c>
      <c r="J100" s="353">
        <f t="shared" si="9"/>
        <v>37259</v>
      </c>
    </row>
    <row r="101" spans="1:10" x14ac:dyDescent="0.2">
      <c r="A101" s="207">
        <v>1096</v>
      </c>
      <c r="B101" s="207" t="s">
        <v>655</v>
      </c>
      <c r="C101" s="207" t="s">
        <v>887</v>
      </c>
      <c r="D101" s="207" t="s">
        <v>633</v>
      </c>
      <c r="E101" s="281">
        <v>0</v>
      </c>
      <c r="F101" s="281" t="s">
        <v>35</v>
      </c>
      <c r="G101" s="282">
        <v>37697</v>
      </c>
      <c r="H101" s="351" t="str">
        <f t="shared" si="7"/>
        <v>Rebecca Watkinson</v>
      </c>
      <c r="I101" s="353">
        <f t="shared" si="8"/>
        <v>1096</v>
      </c>
      <c r="J101" s="353">
        <f t="shared" si="9"/>
        <v>37697</v>
      </c>
    </row>
    <row r="102" spans="1:10" x14ac:dyDescent="0.2">
      <c r="A102" s="207">
        <v>1097</v>
      </c>
      <c r="B102" s="207" t="s">
        <v>179</v>
      </c>
      <c r="C102" s="207" t="s">
        <v>94</v>
      </c>
      <c r="D102" s="207" t="s">
        <v>633</v>
      </c>
      <c r="E102" s="281">
        <v>0</v>
      </c>
      <c r="F102" s="281"/>
      <c r="G102" s="282">
        <v>37742</v>
      </c>
      <c r="H102" s="351" t="str">
        <f t="shared" si="7"/>
        <v>Jake Williams</v>
      </c>
      <c r="I102" s="353">
        <f t="shared" si="8"/>
        <v>1097</v>
      </c>
      <c r="J102" s="353">
        <f t="shared" si="9"/>
        <v>37742</v>
      </c>
    </row>
    <row r="103" spans="1:10" x14ac:dyDescent="0.2">
      <c r="A103" s="207">
        <v>1098</v>
      </c>
      <c r="B103" s="207" t="s">
        <v>475</v>
      </c>
      <c r="C103" s="207" t="s">
        <v>94</v>
      </c>
      <c r="D103" s="207" t="s">
        <v>633</v>
      </c>
      <c r="E103" s="281">
        <v>0</v>
      </c>
      <c r="F103" s="281"/>
      <c r="G103" s="282">
        <v>37742</v>
      </c>
      <c r="H103" s="351" t="str">
        <f t="shared" si="7"/>
        <v>Oscar Williams</v>
      </c>
      <c r="I103" s="353">
        <f t="shared" si="8"/>
        <v>1098</v>
      </c>
      <c r="J103" s="353">
        <f t="shared" si="9"/>
        <v>37742</v>
      </c>
    </row>
    <row r="104" spans="1:10" x14ac:dyDescent="0.2">
      <c r="A104" s="207">
        <v>1099</v>
      </c>
      <c r="B104" s="207" t="s">
        <v>485</v>
      </c>
      <c r="C104" s="207" t="s">
        <v>474</v>
      </c>
      <c r="D104" s="207" t="s">
        <v>633</v>
      </c>
      <c r="E104" s="281">
        <v>0</v>
      </c>
      <c r="F104" s="281"/>
      <c r="G104" s="282">
        <v>36307</v>
      </c>
      <c r="H104" s="351" t="str">
        <f t="shared" si="7"/>
        <v>Jay Arnold</v>
      </c>
      <c r="I104" s="353">
        <f t="shared" si="8"/>
        <v>1099</v>
      </c>
      <c r="J104" s="353">
        <f t="shared" si="9"/>
        <v>36307</v>
      </c>
    </row>
    <row r="105" spans="1:10" x14ac:dyDescent="0.2">
      <c r="A105" s="207">
        <v>1100</v>
      </c>
      <c r="B105" s="207" t="s">
        <v>104</v>
      </c>
      <c r="C105" s="207" t="s">
        <v>1065</v>
      </c>
      <c r="D105" s="207" t="s">
        <v>1066</v>
      </c>
      <c r="E105" s="281">
        <v>0</v>
      </c>
      <c r="F105" s="281"/>
      <c r="G105" s="282">
        <v>36416</v>
      </c>
      <c r="H105" s="351" t="str">
        <f t="shared" si="7"/>
        <v>Ben Moody</v>
      </c>
      <c r="I105" s="353">
        <f t="shared" si="8"/>
        <v>1100</v>
      </c>
      <c r="J105" s="353">
        <f t="shared" si="9"/>
        <v>36416</v>
      </c>
    </row>
    <row r="106" spans="1:10" x14ac:dyDescent="0.2">
      <c r="A106" s="207">
        <v>1101</v>
      </c>
      <c r="B106" s="207" t="s">
        <v>1067</v>
      </c>
      <c r="C106" s="207" t="s">
        <v>1068</v>
      </c>
      <c r="D106" s="207" t="s">
        <v>1069</v>
      </c>
      <c r="E106" s="281">
        <v>11973174</v>
      </c>
      <c r="F106" s="281"/>
      <c r="G106" s="282">
        <v>36057</v>
      </c>
      <c r="H106" s="351" t="str">
        <f t="shared" si="7"/>
        <v>Laurie Hendry</v>
      </c>
      <c r="I106" s="353">
        <f t="shared" si="8"/>
        <v>1101</v>
      </c>
      <c r="J106" s="353">
        <f t="shared" si="9"/>
        <v>36057</v>
      </c>
    </row>
    <row r="107" spans="1:10" x14ac:dyDescent="0.2">
      <c r="A107" s="207">
        <v>1102</v>
      </c>
      <c r="B107" s="207" t="s">
        <v>129</v>
      </c>
      <c r="C107" s="207" t="s">
        <v>1070</v>
      </c>
      <c r="D107" s="207" t="s">
        <v>1071</v>
      </c>
      <c r="E107" s="281">
        <v>0</v>
      </c>
      <c r="F107" s="281"/>
      <c r="G107" s="282">
        <v>37999</v>
      </c>
      <c r="H107" s="351" t="str">
        <f t="shared" si="7"/>
        <v>Tom Ashdown</v>
      </c>
      <c r="I107" s="353">
        <f t="shared" si="8"/>
        <v>1102</v>
      </c>
      <c r="J107" s="353">
        <f t="shared" si="9"/>
        <v>37999</v>
      </c>
    </row>
    <row r="108" spans="1:10" x14ac:dyDescent="0.2">
      <c r="A108" s="207">
        <v>1103</v>
      </c>
      <c r="B108" s="207" t="s">
        <v>903</v>
      </c>
      <c r="C108" s="207" t="s">
        <v>904</v>
      </c>
      <c r="D108" s="207" t="s">
        <v>1072</v>
      </c>
      <c r="E108" s="281">
        <v>834917</v>
      </c>
      <c r="F108" s="281" t="s">
        <v>35</v>
      </c>
      <c r="G108" s="282">
        <v>34500</v>
      </c>
      <c r="H108" s="351" t="str">
        <f t="shared" si="7"/>
        <v>Katherine Maskell</v>
      </c>
      <c r="I108" s="353">
        <f t="shared" si="8"/>
        <v>1103</v>
      </c>
      <c r="J108" s="353">
        <f t="shared" si="9"/>
        <v>34500</v>
      </c>
    </row>
    <row r="109" spans="1:10" x14ac:dyDescent="0.2">
      <c r="A109" s="207">
        <v>1104</v>
      </c>
      <c r="B109" s="207" t="s">
        <v>66</v>
      </c>
      <c r="C109" s="207" t="s">
        <v>1004</v>
      </c>
      <c r="D109" s="207" t="s">
        <v>1005</v>
      </c>
      <c r="E109" s="281">
        <v>0</v>
      </c>
      <c r="F109" s="281"/>
      <c r="G109" s="282">
        <v>37484</v>
      </c>
      <c r="H109" s="351" t="str">
        <f t="shared" si="7"/>
        <v>Matthew Harding</v>
      </c>
      <c r="I109" s="353">
        <f t="shared" si="8"/>
        <v>1104</v>
      </c>
      <c r="J109" s="353">
        <f t="shared" si="9"/>
        <v>37484</v>
      </c>
    </row>
    <row r="110" spans="1:10" x14ac:dyDescent="0.2">
      <c r="A110" s="207">
        <v>1105</v>
      </c>
      <c r="B110" s="207" t="s">
        <v>119</v>
      </c>
      <c r="C110" s="207" t="s">
        <v>114</v>
      </c>
      <c r="D110" s="207" t="s">
        <v>615</v>
      </c>
      <c r="E110" s="281">
        <v>0</v>
      </c>
      <c r="F110" s="281"/>
      <c r="G110" s="282">
        <v>37007</v>
      </c>
      <c r="H110" s="351" t="str">
        <f t="shared" si="7"/>
        <v>William Barker</v>
      </c>
      <c r="I110" s="353">
        <f t="shared" si="8"/>
        <v>1105</v>
      </c>
      <c r="J110" s="353">
        <f t="shared" si="9"/>
        <v>37007</v>
      </c>
    </row>
    <row r="111" spans="1:10" x14ac:dyDescent="0.2">
      <c r="A111" s="207">
        <v>1106</v>
      </c>
      <c r="B111" s="207" t="s">
        <v>752</v>
      </c>
      <c r="C111" s="207" t="s">
        <v>865</v>
      </c>
      <c r="D111" s="207" t="s">
        <v>615</v>
      </c>
      <c r="E111" s="281">
        <v>0</v>
      </c>
      <c r="F111" s="281"/>
      <c r="G111" s="282">
        <v>37426</v>
      </c>
      <c r="H111" s="351" t="str">
        <f t="shared" si="7"/>
        <v>Ned Bickers</v>
      </c>
      <c r="I111" s="353">
        <f t="shared" si="8"/>
        <v>1106</v>
      </c>
      <c r="J111" s="353">
        <f t="shared" si="9"/>
        <v>37426</v>
      </c>
    </row>
    <row r="112" spans="1:10" x14ac:dyDescent="0.2">
      <c r="A112" s="207">
        <v>1107</v>
      </c>
      <c r="B112" s="207" t="s">
        <v>509</v>
      </c>
      <c r="C112" s="207" t="s">
        <v>166</v>
      </c>
      <c r="D112" s="207" t="s">
        <v>615</v>
      </c>
      <c r="E112" s="281">
        <v>0</v>
      </c>
      <c r="F112" s="281" t="s">
        <v>35</v>
      </c>
      <c r="G112" s="282">
        <v>37500</v>
      </c>
      <c r="H112" s="351" t="str">
        <f t="shared" si="7"/>
        <v>Rachel Glynn</v>
      </c>
      <c r="I112" s="353">
        <f t="shared" si="8"/>
        <v>1107</v>
      </c>
      <c r="J112" s="353">
        <f t="shared" si="9"/>
        <v>37500</v>
      </c>
    </row>
    <row r="113" spans="1:10" x14ac:dyDescent="0.2">
      <c r="A113" s="207">
        <v>1108</v>
      </c>
      <c r="B113" s="207" t="s">
        <v>952</v>
      </c>
      <c r="C113" s="207" t="s">
        <v>616</v>
      </c>
      <c r="D113" s="207" t="s">
        <v>615</v>
      </c>
      <c r="E113" s="281">
        <v>0</v>
      </c>
      <c r="F113" s="281"/>
      <c r="G113" s="282">
        <v>38339</v>
      </c>
      <c r="H113" s="351" t="str">
        <f t="shared" si="7"/>
        <v>Cameron Greenley</v>
      </c>
      <c r="I113" s="353">
        <f t="shared" si="8"/>
        <v>1108</v>
      </c>
      <c r="J113" s="353">
        <f t="shared" si="9"/>
        <v>38339</v>
      </c>
    </row>
    <row r="114" spans="1:10" x14ac:dyDescent="0.2">
      <c r="A114" s="207">
        <v>1109</v>
      </c>
      <c r="B114" s="207" t="s">
        <v>135</v>
      </c>
      <c r="C114" s="207" t="s">
        <v>694</v>
      </c>
      <c r="D114" s="207" t="s">
        <v>615</v>
      </c>
      <c r="E114" s="281">
        <v>0</v>
      </c>
      <c r="F114" s="281"/>
      <c r="G114" s="282">
        <v>36908</v>
      </c>
      <c r="H114" s="351" t="str">
        <f t="shared" si="7"/>
        <v>Jack Haigh</v>
      </c>
      <c r="I114" s="353">
        <f t="shared" si="8"/>
        <v>1109</v>
      </c>
      <c r="J114" s="353">
        <f t="shared" si="9"/>
        <v>36908</v>
      </c>
    </row>
    <row r="115" spans="1:10" x14ac:dyDescent="0.2">
      <c r="A115" s="207">
        <v>1110</v>
      </c>
      <c r="B115" s="207" t="s">
        <v>665</v>
      </c>
      <c r="C115" s="207" t="s">
        <v>797</v>
      </c>
      <c r="D115" s="207" t="s">
        <v>615</v>
      </c>
      <c r="E115" s="281">
        <v>0</v>
      </c>
      <c r="F115" s="281" t="s">
        <v>35</v>
      </c>
      <c r="G115" s="282">
        <v>37648</v>
      </c>
      <c r="H115" s="351" t="str">
        <f t="shared" si="7"/>
        <v>Alice Hughes</v>
      </c>
      <c r="I115" s="353">
        <f t="shared" si="8"/>
        <v>1110</v>
      </c>
      <c r="J115" s="353">
        <f t="shared" si="9"/>
        <v>37648</v>
      </c>
    </row>
    <row r="116" spans="1:10" x14ac:dyDescent="0.2">
      <c r="A116" s="207">
        <v>1111</v>
      </c>
      <c r="B116" s="207" t="s">
        <v>65</v>
      </c>
      <c r="C116" s="207" t="s">
        <v>1073</v>
      </c>
      <c r="D116" s="207" t="s">
        <v>615</v>
      </c>
      <c r="E116" s="281">
        <v>0</v>
      </c>
      <c r="F116" s="281"/>
      <c r="G116" s="282">
        <v>37625</v>
      </c>
      <c r="H116" s="351" t="str">
        <f t="shared" si="7"/>
        <v>Daniel Kenward</v>
      </c>
      <c r="I116" s="353">
        <f t="shared" si="8"/>
        <v>1111</v>
      </c>
      <c r="J116" s="353">
        <f t="shared" si="9"/>
        <v>37625</v>
      </c>
    </row>
    <row r="117" spans="1:10" x14ac:dyDescent="0.2">
      <c r="A117" s="207">
        <v>1112</v>
      </c>
      <c r="B117" s="207" t="s">
        <v>1074</v>
      </c>
      <c r="C117" s="207" t="s">
        <v>68</v>
      </c>
      <c r="D117" s="207" t="s">
        <v>615</v>
      </c>
      <c r="E117" s="281">
        <v>799737</v>
      </c>
      <c r="F117" s="281" t="s">
        <v>35</v>
      </c>
      <c r="G117" s="282">
        <v>34154</v>
      </c>
      <c r="H117" s="351" t="str">
        <f t="shared" si="7"/>
        <v>Gabriella Lake</v>
      </c>
      <c r="I117" s="353">
        <f t="shared" si="8"/>
        <v>1112</v>
      </c>
      <c r="J117" s="353">
        <f t="shared" si="9"/>
        <v>34154</v>
      </c>
    </row>
    <row r="118" spans="1:10" x14ac:dyDescent="0.2">
      <c r="A118" s="207">
        <v>1113</v>
      </c>
      <c r="B118" s="207" t="s">
        <v>617</v>
      </c>
      <c r="C118" s="207" t="s">
        <v>618</v>
      </c>
      <c r="D118" s="207" t="s">
        <v>615</v>
      </c>
      <c r="E118" s="281">
        <v>0</v>
      </c>
      <c r="F118" s="281"/>
      <c r="G118" s="282">
        <v>36608</v>
      </c>
      <c r="H118" s="351" t="str">
        <f t="shared" si="7"/>
        <v>Lucas Rodrigues</v>
      </c>
      <c r="I118" s="353">
        <f t="shared" si="8"/>
        <v>1113</v>
      </c>
      <c r="J118" s="353">
        <f t="shared" si="9"/>
        <v>36608</v>
      </c>
    </row>
    <row r="119" spans="1:10" x14ac:dyDescent="0.2">
      <c r="A119" s="207">
        <v>1114</v>
      </c>
      <c r="B119" s="207" t="s">
        <v>85</v>
      </c>
      <c r="C119" s="207" t="s">
        <v>866</v>
      </c>
      <c r="D119" s="207" t="s">
        <v>615</v>
      </c>
      <c r="E119" s="281">
        <v>0</v>
      </c>
      <c r="F119" s="281"/>
      <c r="G119" s="282">
        <v>37713</v>
      </c>
      <c r="H119" s="351" t="str">
        <f t="shared" si="7"/>
        <v>Max Rolt</v>
      </c>
      <c r="I119" s="353">
        <f t="shared" si="8"/>
        <v>1114</v>
      </c>
      <c r="J119" s="353">
        <f t="shared" si="9"/>
        <v>37713</v>
      </c>
    </row>
    <row r="120" spans="1:10" x14ac:dyDescent="0.2">
      <c r="A120" s="207">
        <v>1115</v>
      </c>
      <c r="B120" s="207" t="s">
        <v>179</v>
      </c>
      <c r="C120" s="207" t="s">
        <v>1075</v>
      </c>
      <c r="D120" s="207" t="s">
        <v>615</v>
      </c>
      <c r="E120" s="281">
        <v>0</v>
      </c>
      <c r="F120" s="281"/>
      <c r="G120" s="282">
        <v>37007</v>
      </c>
      <c r="H120" s="351" t="str">
        <f t="shared" si="7"/>
        <v>Jake Shew</v>
      </c>
      <c r="I120" s="353">
        <f t="shared" si="8"/>
        <v>1115</v>
      </c>
      <c r="J120" s="353">
        <f t="shared" si="9"/>
        <v>37007</v>
      </c>
    </row>
    <row r="121" spans="1:10" x14ac:dyDescent="0.2">
      <c r="A121" s="207">
        <v>1116</v>
      </c>
      <c r="B121" s="207" t="s">
        <v>155</v>
      </c>
      <c r="C121" s="207" t="s">
        <v>156</v>
      </c>
      <c r="D121" s="207" t="s">
        <v>157</v>
      </c>
      <c r="E121" s="281">
        <v>156763</v>
      </c>
      <c r="F121" s="281"/>
      <c r="G121" s="282">
        <v>19387</v>
      </c>
      <c r="H121" s="351" t="str">
        <f t="shared" si="7"/>
        <v>Philip Diprose</v>
      </c>
      <c r="I121" s="353">
        <f t="shared" si="8"/>
        <v>1116</v>
      </c>
      <c r="J121" s="353">
        <f t="shared" si="9"/>
        <v>19387</v>
      </c>
    </row>
    <row r="122" spans="1:10" x14ac:dyDescent="0.2">
      <c r="A122" s="207">
        <v>1117</v>
      </c>
      <c r="B122" s="207" t="s">
        <v>104</v>
      </c>
      <c r="C122" s="207" t="s">
        <v>558</v>
      </c>
      <c r="D122" s="207" t="s">
        <v>157</v>
      </c>
      <c r="E122" s="281">
        <v>0</v>
      </c>
      <c r="F122" s="281"/>
      <c r="G122" s="282">
        <v>37470</v>
      </c>
      <c r="H122" s="351" t="str">
        <f t="shared" si="7"/>
        <v>Ben Ball</v>
      </c>
      <c r="I122" s="353">
        <f t="shared" si="8"/>
        <v>1117</v>
      </c>
      <c r="J122" s="353">
        <f t="shared" si="9"/>
        <v>37470</v>
      </c>
    </row>
    <row r="123" spans="1:10" x14ac:dyDescent="0.2">
      <c r="A123" s="207">
        <v>1118</v>
      </c>
      <c r="B123" s="207" t="s">
        <v>104</v>
      </c>
      <c r="C123" s="207" t="s">
        <v>901</v>
      </c>
      <c r="D123" s="207" t="s">
        <v>157</v>
      </c>
      <c r="E123" s="281">
        <v>0</v>
      </c>
      <c r="F123" s="281"/>
      <c r="G123" s="282">
        <v>37118</v>
      </c>
      <c r="H123" s="351" t="str">
        <f t="shared" si="7"/>
        <v>Ben Butterworth</v>
      </c>
      <c r="I123" s="353">
        <f t="shared" si="8"/>
        <v>1118</v>
      </c>
      <c r="J123" s="353">
        <f t="shared" si="9"/>
        <v>37118</v>
      </c>
    </row>
    <row r="124" spans="1:10" x14ac:dyDescent="0.2">
      <c r="A124" s="207">
        <v>1119</v>
      </c>
      <c r="B124" s="207" t="s">
        <v>71</v>
      </c>
      <c r="C124" s="207" t="s">
        <v>901</v>
      </c>
      <c r="D124" s="207" t="s">
        <v>157</v>
      </c>
      <c r="E124" s="281">
        <v>0</v>
      </c>
      <c r="F124" s="281"/>
      <c r="G124" s="282">
        <v>38121</v>
      </c>
      <c r="H124" s="351" t="str">
        <f t="shared" si="7"/>
        <v>Dan Butterworth</v>
      </c>
      <c r="I124" s="353">
        <f t="shared" si="8"/>
        <v>1119</v>
      </c>
      <c r="J124" s="353">
        <f t="shared" si="9"/>
        <v>38121</v>
      </c>
    </row>
    <row r="125" spans="1:10" x14ac:dyDescent="0.2">
      <c r="A125" s="207">
        <v>1120</v>
      </c>
      <c r="B125" s="207" t="s">
        <v>877</v>
      </c>
      <c r="C125" s="207" t="s">
        <v>1076</v>
      </c>
      <c r="D125" s="207" t="s">
        <v>157</v>
      </c>
      <c r="E125" s="281">
        <v>0</v>
      </c>
      <c r="F125" s="281"/>
      <c r="G125" s="282">
        <v>36692</v>
      </c>
      <c r="H125" s="351" t="str">
        <f t="shared" si="7"/>
        <v>Jonathon Carter</v>
      </c>
      <c r="I125" s="353">
        <f t="shared" si="8"/>
        <v>1120</v>
      </c>
      <c r="J125" s="353">
        <f t="shared" si="9"/>
        <v>36692</v>
      </c>
    </row>
    <row r="126" spans="1:10" x14ac:dyDescent="0.2">
      <c r="A126" s="207">
        <v>1121</v>
      </c>
      <c r="B126" s="207" t="s">
        <v>96</v>
      </c>
      <c r="C126" s="207" t="s">
        <v>902</v>
      </c>
      <c r="D126" s="207" t="s">
        <v>157</v>
      </c>
      <c r="E126" s="281">
        <v>0</v>
      </c>
      <c r="F126" s="281"/>
      <c r="G126" s="282">
        <v>37987</v>
      </c>
      <c r="H126" s="351" t="str">
        <f t="shared" si="7"/>
        <v>Thomas Els</v>
      </c>
      <c r="I126" s="353">
        <f t="shared" si="8"/>
        <v>1121</v>
      </c>
      <c r="J126" s="353">
        <f t="shared" si="9"/>
        <v>37987</v>
      </c>
    </row>
    <row r="127" spans="1:10" x14ac:dyDescent="0.2">
      <c r="A127" s="207">
        <v>1122</v>
      </c>
      <c r="B127" s="207" t="s">
        <v>66</v>
      </c>
      <c r="C127" s="207" t="s">
        <v>637</v>
      </c>
      <c r="D127" s="207" t="s">
        <v>157</v>
      </c>
      <c r="E127" s="281">
        <v>0</v>
      </c>
      <c r="F127" s="281"/>
      <c r="G127" s="282">
        <v>38253</v>
      </c>
      <c r="H127" s="351" t="str">
        <f t="shared" si="7"/>
        <v>Matthew Hendy</v>
      </c>
      <c r="I127" s="353">
        <f t="shared" si="8"/>
        <v>1122</v>
      </c>
      <c r="J127" s="353">
        <f t="shared" si="9"/>
        <v>38253</v>
      </c>
    </row>
    <row r="128" spans="1:10" x14ac:dyDescent="0.2">
      <c r="A128" s="207">
        <v>1123</v>
      </c>
      <c r="B128" s="207" t="s">
        <v>110</v>
      </c>
      <c r="C128" s="207" t="s">
        <v>637</v>
      </c>
      <c r="D128" s="207" t="s">
        <v>157</v>
      </c>
      <c r="E128" s="281">
        <v>0</v>
      </c>
      <c r="F128" s="281"/>
      <c r="G128" s="282">
        <v>37089</v>
      </c>
      <c r="H128" s="351" t="str">
        <f t="shared" si="7"/>
        <v>Peter Hendy</v>
      </c>
      <c r="I128" s="353">
        <f t="shared" si="8"/>
        <v>1123</v>
      </c>
      <c r="J128" s="353">
        <f t="shared" si="9"/>
        <v>37089</v>
      </c>
    </row>
    <row r="129" spans="1:10" x14ac:dyDescent="0.2">
      <c r="A129" s="207">
        <v>1124</v>
      </c>
      <c r="B129" s="207" t="s">
        <v>69</v>
      </c>
      <c r="C129" s="207" t="s">
        <v>1077</v>
      </c>
      <c r="D129" s="207" t="s">
        <v>157</v>
      </c>
      <c r="E129" s="281">
        <v>11906579</v>
      </c>
      <c r="F129" s="281"/>
      <c r="G129" s="282">
        <v>28022</v>
      </c>
      <c r="H129" s="351" t="str">
        <f t="shared" si="7"/>
        <v>David Tubb</v>
      </c>
      <c r="I129" s="353">
        <f t="shared" si="8"/>
        <v>1124</v>
      </c>
      <c r="J129" s="353">
        <f t="shared" si="9"/>
        <v>28022</v>
      </c>
    </row>
    <row r="130" spans="1:10" x14ac:dyDescent="0.2">
      <c r="A130" s="207">
        <v>1125</v>
      </c>
      <c r="B130" s="207" t="s">
        <v>622</v>
      </c>
      <c r="C130" s="207" t="s">
        <v>710</v>
      </c>
      <c r="D130" s="207" t="s">
        <v>157</v>
      </c>
      <c r="E130" s="281">
        <v>0</v>
      </c>
      <c r="F130" s="281"/>
      <c r="G130" s="282">
        <v>37775</v>
      </c>
      <c r="H130" s="351" t="str">
        <f t="shared" si="7"/>
        <v>Elliott Jordan</v>
      </c>
      <c r="I130" s="353">
        <f t="shared" si="8"/>
        <v>1125</v>
      </c>
      <c r="J130" s="353">
        <f t="shared" si="9"/>
        <v>37775</v>
      </c>
    </row>
    <row r="131" spans="1:10" x14ac:dyDescent="0.2">
      <c r="A131" s="207">
        <v>1126</v>
      </c>
      <c r="B131" s="207" t="s">
        <v>638</v>
      </c>
      <c r="C131" s="207" t="s">
        <v>76</v>
      </c>
      <c r="D131" s="207" t="s">
        <v>157</v>
      </c>
      <c r="E131" s="281">
        <v>0</v>
      </c>
      <c r="F131" s="281"/>
      <c r="G131" s="282">
        <v>36691</v>
      </c>
      <c r="H131" s="351" t="str">
        <f t="shared" si="7"/>
        <v>Jensen Leslie</v>
      </c>
      <c r="I131" s="353">
        <f t="shared" si="8"/>
        <v>1126</v>
      </c>
      <c r="J131" s="353">
        <f t="shared" si="9"/>
        <v>36691</v>
      </c>
    </row>
    <row r="132" spans="1:10" x14ac:dyDescent="0.2">
      <c r="A132" s="207">
        <v>1127</v>
      </c>
      <c r="B132" s="207" t="s">
        <v>49</v>
      </c>
      <c r="C132" s="207" t="s">
        <v>636</v>
      </c>
      <c r="D132" s="207" t="s">
        <v>157</v>
      </c>
      <c r="E132" s="281">
        <v>0</v>
      </c>
      <c r="F132" s="281"/>
      <c r="G132" s="282">
        <v>36919</v>
      </c>
      <c r="H132" s="351" t="str">
        <f t="shared" si="7"/>
        <v>James Parteka</v>
      </c>
      <c r="I132" s="353">
        <f t="shared" si="8"/>
        <v>1127</v>
      </c>
      <c r="J132" s="353">
        <f t="shared" si="9"/>
        <v>36919</v>
      </c>
    </row>
    <row r="133" spans="1:10" x14ac:dyDescent="0.2">
      <c r="A133" s="207">
        <v>1128</v>
      </c>
      <c r="B133" s="207" t="s">
        <v>714</v>
      </c>
      <c r="C133" s="207" t="s">
        <v>675</v>
      </c>
      <c r="D133" s="207" t="s">
        <v>157</v>
      </c>
      <c r="E133" s="281">
        <v>0</v>
      </c>
      <c r="F133" s="281" t="s">
        <v>35</v>
      </c>
      <c r="G133" s="282">
        <v>38060</v>
      </c>
      <c r="H133" s="351" t="str">
        <f t="shared" si="7"/>
        <v>Emily Pearce</v>
      </c>
      <c r="I133" s="353">
        <f t="shared" si="8"/>
        <v>1128</v>
      </c>
      <c r="J133" s="353">
        <f t="shared" si="9"/>
        <v>38060</v>
      </c>
    </row>
    <row r="134" spans="1:10" x14ac:dyDescent="0.2">
      <c r="A134" s="207">
        <v>1129</v>
      </c>
      <c r="B134" s="207" t="s">
        <v>1078</v>
      </c>
      <c r="C134" s="207" t="s">
        <v>1079</v>
      </c>
      <c r="D134" s="207" t="s">
        <v>157</v>
      </c>
      <c r="E134" s="281">
        <v>0</v>
      </c>
      <c r="F134" s="281" t="s">
        <v>35</v>
      </c>
      <c r="G134" s="282">
        <v>38249</v>
      </c>
      <c r="H134" s="351" t="str">
        <f t="shared" si="7"/>
        <v>Sarah Wates</v>
      </c>
      <c r="I134" s="353">
        <f t="shared" si="8"/>
        <v>1129</v>
      </c>
      <c r="J134" s="353">
        <f t="shared" si="9"/>
        <v>38249</v>
      </c>
    </row>
    <row r="135" spans="1:10" x14ac:dyDescent="0.2">
      <c r="A135" s="207">
        <v>1130</v>
      </c>
      <c r="B135" s="207" t="s">
        <v>178</v>
      </c>
      <c r="C135" s="207" t="s">
        <v>100</v>
      </c>
      <c r="D135" s="207" t="s">
        <v>1080</v>
      </c>
      <c r="E135" s="281">
        <v>246226</v>
      </c>
      <c r="F135" s="281"/>
      <c r="G135" s="282"/>
      <c r="H135" s="351" t="str">
        <f t="shared" si="7"/>
        <v>Malcolm Young</v>
      </c>
      <c r="I135" s="353">
        <f t="shared" si="8"/>
        <v>1130</v>
      </c>
      <c r="J135" s="353">
        <f t="shared" si="9"/>
        <v>0</v>
      </c>
    </row>
    <row r="136" spans="1:10" x14ac:dyDescent="0.2">
      <c r="A136" s="207">
        <v>1131</v>
      </c>
      <c r="B136" s="207" t="s">
        <v>62</v>
      </c>
      <c r="C136" s="207" t="s">
        <v>1081</v>
      </c>
      <c r="D136" s="207" t="s">
        <v>1080</v>
      </c>
      <c r="E136" s="281">
        <v>0</v>
      </c>
      <c r="F136" s="281"/>
      <c r="G136" s="282">
        <v>38211</v>
      </c>
      <c r="H136" s="351" t="str">
        <f t="shared" si="7"/>
        <v>Callum Dixon</v>
      </c>
      <c r="I136" s="353">
        <f t="shared" si="8"/>
        <v>1131</v>
      </c>
      <c r="J136" s="353">
        <f t="shared" si="9"/>
        <v>38211</v>
      </c>
    </row>
    <row r="137" spans="1:10" x14ac:dyDescent="0.2">
      <c r="A137" s="207">
        <v>1132</v>
      </c>
      <c r="B137" s="207" t="s">
        <v>163</v>
      </c>
      <c r="C137" s="207" t="s">
        <v>1082</v>
      </c>
      <c r="D137" s="207" t="s">
        <v>1080</v>
      </c>
      <c r="E137" s="281">
        <v>0</v>
      </c>
      <c r="F137" s="281" t="s">
        <v>35</v>
      </c>
      <c r="G137" s="282">
        <v>37754</v>
      </c>
      <c r="H137" s="351" t="str">
        <f t="shared" ref="H137:H200" si="10">CONCATENATE(B137," ",C137)</f>
        <v>Elizabeth Hall</v>
      </c>
      <c r="I137" s="353">
        <f t="shared" ref="I137:I200" si="11">A137</f>
        <v>1132</v>
      </c>
      <c r="J137" s="353">
        <f t="shared" ref="J137:J200" si="12">G137</f>
        <v>37754</v>
      </c>
    </row>
    <row r="138" spans="1:10" x14ac:dyDescent="0.2">
      <c r="A138" s="207">
        <v>1133</v>
      </c>
      <c r="B138" s="207" t="s">
        <v>75</v>
      </c>
      <c r="C138" s="207" t="s">
        <v>1082</v>
      </c>
      <c r="D138" s="207" t="s">
        <v>1080</v>
      </c>
      <c r="E138" s="281">
        <v>0</v>
      </c>
      <c r="F138" s="281"/>
      <c r="G138" s="282">
        <v>37221</v>
      </c>
      <c r="H138" s="351" t="str">
        <f t="shared" si="10"/>
        <v>Luke Hall</v>
      </c>
      <c r="I138" s="353">
        <f t="shared" si="11"/>
        <v>1133</v>
      </c>
      <c r="J138" s="353">
        <f t="shared" si="12"/>
        <v>37221</v>
      </c>
    </row>
    <row r="139" spans="1:10" x14ac:dyDescent="0.2">
      <c r="A139" s="207">
        <v>1134</v>
      </c>
      <c r="B139" s="207" t="s">
        <v>1083</v>
      </c>
      <c r="C139" s="207" t="s">
        <v>1084</v>
      </c>
      <c r="D139" s="207" t="s">
        <v>1080</v>
      </c>
      <c r="E139" s="281">
        <v>0</v>
      </c>
      <c r="F139" s="281" t="s">
        <v>35</v>
      </c>
      <c r="G139" s="282">
        <v>38104</v>
      </c>
      <c r="H139" s="351" t="str">
        <f t="shared" si="10"/>
        <v>Violet Peto</v>
      </c>
      <c r="I139" s="353">
        <f t="shared" si="11"/>
        <v>1134</v>
      </c>
      <c r="J139" s="353">
        <f t="shared" si="12"/>
        <v>38104</v>
      </c>
    </row>
    <row r="140" spans="1:10" x14ac:dyDescent="0.2">
      <c r="A140" s="207">
        <v>1135</v>
      </c>
      <c r="B140" s="207" t="s">
        <v>1024</v>
      </c>
      <c r="C140" s="207" t="s">
        <v>1025</v>
      </c>
      <c r="D140" s="207" t="s">
        <v>528</v>
      </c>
      <c r="E140" s="281"/>
      <c r="F140" s="281"/>
      <c r="G140" s="282">
        <v>0</v>
      </c>
      <c r="H140" s="351" t="str">
        <f t="shared" si="10"/>
        <v>DNS in 2016 !</v>
      </c>
      <c r="I140" s="353">
        <f t="shared" si="11"/>
        <v>1135</v>
      </c>
      <c r="J140" s="353">
        <f t="shared" si="12"/>
        <v>0</v>
      </c>
    </row>
    <row r="141" spans="1:10" x14ac:dyDescent="0.2">
      <c r="A141" s="207">
        <v>1136</v>
      </c>
      <c r="B141" s="207" t="s">
        <v>106</v>
      </c>
      <c r="C141" s="207" t="s">
        <v>739</v>
      </c>
      <c r="D141" s="207" t="s">
        <v>1080</v>
      </c>
      <c r="E141" s="281">
        <v>0</v>
      </c>
      <c r="F141" s="281"/>
      <c r="G141" s="282">
        <v>36536</v>
      </c>
      <c r="H141" s="351" t="str">
        <f t="shared" si="10"/>
        <v>Harry Wallace</v>
      </c>
      <c r="I141" s="353">
        <f t="shared" si="11"/>
        <v>1136</v>
      </c>
      <c r="J141" s="353">
        <f t="shared" si="12"/>
        <v>36536</v>
      </c>
    </row>
    <row r="142" spans="1:10" x14ac:dyDescent="0.2">
      <c r="A142" s="207">
        <v>1137</v>
      </c>
      <c r="B142" s="207" t="s">
        <v>65</v>
      </c>
      <c r="C142" s="207" t="s">
        <v>870</v>
      </c>
      <c r="D142" s="207" t="s">
        <v>1080</v>
      </c>
      <c r="E142" s="281">
        <v>0</v>
      </c>
      <c r="F142" s="281"/>
      <c r="G142" s="282">
        <v>37597</v>
      </c>
      <c r="H142" s="351" t="str">
        <f t="shared" si="10"/>
        <v>Daniel Webb</v>
      </c>
      <c r="I142" s="353">
        <f t="shared" si="11"/>
        <v>1137</v>
      </c>
      <c r="J142" s="353">
        <f t="shared" si="12"/>
        <v>37597</v>
      </c>
    </row>
    <row r="143" spans="1:10" x14ac:dyDescent="0.2">
      <c r="A143" s="207">
        <v>1138</v>
      </c>
      <c r="B143" s="207" t="s">
        <v>173</v>
      </c>
      <c r="C143" s="207" t="s">
        <v>870</v>
      </c>
      <c r="D143" s="207" t="s">
        <v>1080</v>
      </c>
      <c r="E143" s="281">
        <v>0</v>
      </c>
      <c r="F143" s="281" t="s">
        <v>35</v>
      </c>
      <c r="G143" s="282">
        <v>38595</v>
      </c>
      <c r="H143" s="351" t="str">
        <f t="shared" si="10"/>
        <v>Ella Webb</v>
      </c>
      <c r="I143" s="353">
        <f t="shared" si="11"/>
        <v>1138</v>
      </c>
      <c r="J143" s="353">
        <f t="shared" si="12"/>
        <v>38595</v>
      </c>
    </row>
    <row r="144" spans="1:10" x14ac:dyDescent="0.2">
      <c r="A144" s="207">
        <v>1139</v>
      </c>
      <c r="B144" s="207" t="s">
        <v>1085</v>
      </c>
      <c r="C144" s="207" t="s">
        <v>94</v>
      </c>
      <c r="D144" s="207" t="s">
        <v>1080</v>
      </c>
      <c r="E144" s="281">
        <v>0</v>
      </c>
      <c r="F144" s="281"/>
      <c r="G144" s="282">
        <v>37688</v>
      </c>
      <c r="H144" s="351" t="str">
        <f t="shared" si="10"/>
        <v>Bailey Williams</v>
      </c>
      <c r="I144" s="353">
        <f t="shared" si="11"/>
        <v>1139</v>
      </c>
      <c r="J144" s="353">
        <f t="shared" si="12"/>
        <v>37688</v>
      </c>
    </row>
    <row r="145" spans="1:10" x14ac:dyDescent="0.2">
      <c r="A145" s="207">
        <v>1140</v>
      </c>
      <c r="B145" s="207" t="s">
        <v>67</v>
      </c>
      <c r="C145" s="207" t="s">
        <v>1086</v>
      </c>
      <c r="D145" s="207" t="s">
        <v>1087</v>
      </c>
      <c r="E145" s="281">
        <v>0</v>
      </c>
      <c r="F145" s="281"/>
      <c r="G145" s="282">
        <v>37693</v>
      </c>
      <c r="H145" s="351" t="str">
        <f t="shared" si="10"/>
        <v>Edward Aylmer</v>
      </c>
      <c r="I145" s="353">
        <f t="shared" si="11"/>
        <v>1140</v>
      </c>
      <c r="J145" s="353">
        <f t="shared" si="12"/>
        <v>37693</v>
      </c>
    </row>
    <row r="146" spans="1:10" x14ac:dyDescent="0.2">
      <c r="A146" s="207">
        <v>1141</v>
      </c>
      <c r="B146" s="207" t="s">
        <v>129</v>
      </c>
      <c r="C146" s="207" t="s">
        <v>1088</v>
      </c>
      <c r="D146" s="207" t="s">
        <v>1087</v>
      </c>
      <c r="E146" s="281">
        <v>0</v>
      </c>
      <c r="F146" s="281"/>
      <c r="G146" s="282">
        <v>37815</v>
      </c>
      <c r="H146" s="351" t="str">
        <f t="shared" si="10"/>
        <v>Tom Butcher</v>
      </c>
      <c r="I146" s="353">
        <f t="shared" si="11"/>
        <v>1141</v>
      </c>
      <c r="J146" s="353">
        <f t="shared" si="12"/>
        <v>37815</v>
      </c>
    </row>
    <row r="147" spans="1:10" x14ac:dyDescent="0.2">
      <c r="A147" s="207">
        <v>1142</v>
      </c>
      <c r="B147" s="207" t="s">
        <v>1089</v>
      </c>
      <c r="C147" s="207" t="s">
        <v>747</v>
      </c>
      <c r="D147" s="207" t="s">
        <v>1087</v>
      </c>
      <c r="E147" s="281">
        <v>0</v>
      </c>
      <c r="F147" s="281" t="s">
        <v>35</v>
      </c>
      <c r="G147" s="282">
        <v>37751</v>
      </c>
      <c r="H147" s="351" t="str">
        <f t="shared" si="10"/>
        <v>Anneliese Harris</v>
      </c>
      <c r="I147" s="353">
        <f t="shared" si="11"/>
        <v>1142</v>
      </c>
      <c r="J147" s="353">
        <f t="shared" si="12"/>
        <v>37751</v>
      </c>
    </row>
    <row r="148" spans="1:10" x14ac:dyDescent="0.2">
      <c r="A148" s="207">
        <v>1143</v>
      </c>
      <c r="B148" s="207" t="s">
        <v>119</v>
      </c>
      <c r="C148" s="207" t="s">
        <v>231</v>
      </c>
      <c r="D148" s="207" t="s">
        <v>1087</v>
      </c>
      <c r="E148" s="281">
        <v>0</v>
      </c>
      <c r="F148" s="281"/>
      <c r="G148" s="282">
        <v>36990</v>
      </c>
      <c r="H148" s="351" t="str">
        <f t="shared" si="10"/>
        <v>William Harvey</v>
      </c>
      <c r="I148" s="353">
        <f t="shared" si="11"/>
        <v>1143</v>
      </c>
      <c r="J148" s="353">
        <f t="shared" si="12"/>
        <v>36990</v>
      </c>
    </row>
    <row r="149" spans="1:10" x14ac:dyDescent="0.2">
      <c r="A149" s="207">
        <v>1144</v>
      </c>
      <c r="B149" s="207" t="s">
        <v>1090</v>
      </c>
      <c r="C149" s="207" t="s">
        <v>1091</v>
      </c>
      <c r="D149" s="207" t="s">
        <v>1087</v>
      </c>
      <c r="E149" s="281">
        <v>0</v>
      </c>
      <c r="F149" s="281" t="s">
        <v>35</v>
      </c>
      <c r="G149" s="282">
        <v>37737</v>
      </c>
      <c r="H149" s="351" t="str">
        <f t="shared" si="10"/>
        <v>Lucie Langridge</v>
      </c>
      <c r="I149" s="353">
        <f t="shared" si="11"/>
        <v>1144</v>
      </c>
      <c r="J149" s="353">
        <f t="shared" si="12"/>
        <v>37737</v>
      </c>
    </row>
    <row r="150" spans="1:10" x14ac:dyDescent="0.2">
      <c r="A150" s="207">
        <v>1145</v>
      </c>
      <c r="B150" s="207" t="s">
        <v>75</v>
      </c>
      <c r="C150" s="207" t="s">
        <v>108</v>
      </c>
      <c r="D150" s="207" t="s">
        <v>1087</v>
      </c>
      <c r="E150" s="281">
        <v>0</v>
      </c>
      <c r="F150" s="281"/>
      <c r="G150" s="282">
        <v>37535</v>
      </c>
      <c r="H150" s="351" t="str">
        <f t="shared" si="10"/>
        <v>Luke Marsden</v>
      </c>
      <c r="I150" s="353">
        <f t="shared" si="11"/>
        <v>1145</v>
      </c>
      <c r="J150" s="353">
        <f t="shared" si="12"/>
        <v>37535</v>
      </c>
    </row>
    <row r="151" spans="1:10" x14ac:dyDescent="0.2">
      <c r="A151" s="207">
        <v>1146</v>
      </c>
      <c r="B151" s="207" t="s">
        <v>66</v>
      </c>
      <c r="C151" s="207" t="s">
        <v>1092</v>
      </c>
      <c r="D151" s="207" t="s">
        <v>1087</v>
      </c>
      <c r="E151" s="281">
        <v>0</v>
      </c>
      <c r="F151" s="281"/>
      <c r="G151" s="282">
        <v>37726</v>
      </c>
      <c r="H151" s="351" t="str">
        <f t="shared" si="10"/>
        <v>Matthew Quin</v>
      </c>
      <c r="I151" s="353">
        <f t="shared" si="11"/>
        <v>1146</v>
      </c>
      <c r="J151" s="353">
        <f t="shared" si="12"/>
        <v>37726</v>
      </c>
    </row>
    <row r="152" spans="1:10" x14ac:dyDescent="0.2">
      <c r="A152" s="207">
        <v>1147</v>
      </c>
      <c r="B152" s="207" t="s">
        <v>1093</v>
      </c>
      <c r="C152" s="207" t="s">
        <v>1094</v>
      </c>
      <c r="D152" s="207" t="s">
        <v>1087</v>
      </c>
      <c r="E152" s="281">
        <v>0</v>
      </c>
      <c r="F152" s="281" t="s">
        <v>35</v>
      </c>
      <c r="G152" s="282">
        <v>37838</v>
      </c>
      <c r="H152" s="351" t="str">
        <f t="shared" si="10"/>
        <v>Mathilda Vian</v>
      </c>
      <c r="I152" s="353">
        <f t="shared" si="11"/>
        <v>1147</v>
      </c>
      <c r="J152" s="353">
        <f t="shared" si="12"/>
        <v>37838</v>
      </c>
    </row>
    <row r="153" spans="1:10" x14ac:dyDescent="0.2">
      <c r="A153" s="207">
        <v>1148</v>
      </c>
      <c r="B153" s="207" t="s">
        <v>551</v>
      </c>
      <c r="C153" s="207" t="s">
        <v>148</v>
      </c>
      <c r="D153" s="207" t="s">
        <v>1087</v>
      </c>
      <c r="E153" s="281">
        <v>0</v>
      </c>
      <c r="F153" s="281" t="s">
        <v>35</v>
      </c>
      <c r="G153" s="282">
        <v>37810</v>
      </c>
      <c r="H153" s="351" t="str">
        <f t="shared" si="10"/>
        <v>Laura Williamson</v>
      </c>
      <c r="I153" s="353">
        <f t="shared" si="11"/>
        <v>1148</v>
      </c>
      <c r="J153" s="353">
        <f t="shared" si="12"/>
        <v>37810</v>
      </c>
    </row>
    <row r="154" spans="1:10" x14ac:dyDescent="0.2">
      <c r="A154" s="207">
        <v>1149</v>
      </c>
      <c r="B154" s="207" t="s">
        <v>1024</v>
      </c>
      <c r="C154" s="207" t="s">
        <v>1025</v>
      </c>
      <c r="D154" s="207" t="s">
        <v>528</v>
      </c>
      <c r="E154" s="281"/>
      <c r="F154" s="281"/>
      <c r="G154" s="282">
        <v>0</v>
      </c>
      <c r="H154" s="351" t="str">
        <f t="shared" si="10"/>
        <v>DNS in 2016 !</v>
      </c>
      <c r="I154" s="353">
        <f t="shared" si="11"/>
        <v>1149</v>
      </c>
      <c r="J154" s="353">
        <f t="shared" si="12"/>
        <v>0</v>
      </c>
    </row>
    <row r="155" spans="1:10" x14ac:dyDescent="0.2">
      <c r="A155" s="207">
        <v>1150</v>
      </c>
      <c r="B155" s="207" t="s">
        <v>95</v>
      </c>
      <c r="C155" s="207" t="s">
        <v>1095</v>
      </c>
      <c r="D155" s="207" t="s">
        <v>1087</v>
      </c>
      <c r="E155" s="281">
        <v>11959417</v>
      </c>
      <c r="F155" s="281"/>
      <c r="G155" s="282">
        <v>24202</v>
      </c>
      <c r="H155" s="351" t="str">
        <f t="shared" si="10"/>
        <v>Michael Stott</v>
      </c>
      <c r="I155" s="353">
        <f t="shared" si="11"/>
        <v>1150</v>
      </c>
      <c r="J155" s="353">
        <f t="shared" si="12"/>
        <v>24202</v>
      </c>
    </row>
    <row r="156" spans="1:10" x14ac:dyDescent="0.2">
      <c r="A156" s="207">
        <v>1151</v>
      </c>
      <c r="B156" s="207" t="s">
        <v>49</v>
      </c>
      <c r="C156" s="207" t="s">
        <v>747</v>
      </c>
      <c r="D156" s="207" t="s">
        <v>1087</v>
      </c>
      <c r="E156" s="281">
        <v>38852</v>
      </c>
      <c r="F156" s="281"/>
      <c r="G156" s="282">
        <v>38852</v>
      </c>
      <c r="H156" s="351" t="str">
        <f t="shared" si="10"/>
        <v>James Harris</v>
      </c>
      <c r="I156" s="353">
        <f t="shared" si="11"/>
        <v>1151</v>
      </c>
      <c r="J156" s="353">
        <f t="shared" si="12"/>
        <v>38852</v>
      </c>
    </row>
    <row r="157" spans="1:10" x14ac:dyDescent="0.2">
      <c r="A157" s="207">
        <v>1152</v>
      </c>
      <c r="B157" s="207" t="s">
        <v>71</v>
      </c>
      <c r="C157" s="207" t="s">
        <v>1096</v>
      </c>
      <c r="D157" s="207" t="s">
        <v>1087</v>
      </c>
      <c r="E157" s="281">
        <v>38744</v>
      </c>
      <c r="F157" s="281"/>
      <c r="G157" s="282">
        <v>38744</v>
      </c>
      <c r="H157" s="351" t="str">
        <f t="shared" si="10"/>
        <v>Dan Cane</v>
      </c>
      <c r="I157" s="353">
        <f t="shared" si="11"/>
        <v>1152</v>
      </c>
      <c r="J157" s="353">
        <f t="shared" si="12"/>
        <v>38744</v>
      </c>
    </row>
    <row r="158" spans="1:10" x14ac:dyDescent="0.2">
      <c r="A158" s="207">
        <v>1153</v>
      </c>
      <c r="B158" s="207" t="s">
        <v>1097</v>
      </c>
      <c r="C158" s="207" t="s">
        <v>1098</v>
      </c>
      <c r="D158" s="207" t="s">
        <v>1087</v>
      </c>
      <c r="E158" s="281">
        <v>36907</v>
      </c>
      <c r="F158" s="281" t="s">
        <v>35</v>
      </c>
      <c r="G158" s="282">
        <v>36907</v>
      </c>
      <c r="H158" s="351" t="str">
        <f t="shared" si="10"/>
        <v>Mimi Weller</v>
      </c>
      <c r="I158" s="353">
        <f t="shared" si="11"/>
        <v>1153</v>
      </c>
      <c r="J158" s="353">
        <f t="shared" si="12"/>
        <v>36907</v>
      </c>
    </row>
    <row r="159" spans="1:10" x14ac:dyDescent="0.2">
      <c r="A159" s="207">
        <v>1154</v>
      </c>
      <c r="B159" s="207" t="s">
        <v>1099</v>
      </c>
      <c r="C159" s="207" t="s">
        <v>1100</v>
      </c>
      <c r="D159" s="207" t="s">
        <v>1087</v>
      </c>
      <c r="E159" s="281">
        <v>38743</v>
      </c>
      <c r="F159" s="281" t="s">
        <v>35</v>
      </c>
      <c r="G159" s="282">
        <v>38743</v>
      </c>
      <c r="H159" s="351" t="str">
        <f t="shared" si="10"/>
        <v>Leah Svedin</v>
      </c>
      <c r="I159" s="353">
        <f t="shared" si="11"/>
        <v>1154</v>
      </c>
      <c r="J159" s="353">
        <f t="shared" si="12"/>
        <v>38743</v>
      </c>
    </row>
    <row r="160" spans="1:10" x14ac:dyDescent="0.2">
      <c r="A160" s="207">
        <v>1155</v>
      </c>
      <c r="B160" s="207" t="s">
        <v>557</v>
      </c>
      <c r="C160" s="207" t="s">
        <v>1101</v>
      </c>
      <c r="D160" s="207" t="s">
        <v>1087</v>
      </c>
      <c r="E160" s="281">
        <v>37619</v>
      </c>
      <c r="F160" s="281"/>
      <c r="G160" s="282">
        <v>37619</v>
      </c>
      <c r="H160" s="351" t="str">
        <f t="shared" si="10"/>
        <v>Aiden Kerwin</v>
      </c>
      <c r="I160" s="353">
        <f t="shared" si="11"/>
        <v>1155</v>
      </c>
      <c r="J160" s="353">
        <f t="shared" si="12"/>
        <v>37619</v>
      </c>
    </row>
    <row r="161" spans="1:10" ht="25.5" x14ac:dyDescent="0.2">
      <c r="A161" s="207">
        <v>1156</v>
      </c>
      <c r="B161" s="207" t="s">
        <v>188</v>
      </c>
      <c r="C161" s="207" t="s">
        <v>1102</v>
      </c>
      <c r="D161" s="207" t="s">
        <v>1103</v>
      </c>
      <c r="E161" s="281">
        <v>0</v>
      </c>
      <c r="F161" s="281"/>
      <c r="G161" s="282">
        <v>37642</v>
      </c>
      <c r="H161" s="351" t="str">
        <f t="shared" si="10"/>
        <v>Harrison Ramsay-Andrews</v>
      </c>
      <c r="I161" s="353">
        <f t="shared" si="11"/>
        <v>1156</v>
      </c>
      <c r="J161" s="353">
        <f t="shared" si="12"/>
        <v>37642</v>
      </c>
    </row>
    <row r="162" spans="1:10" x14ac:dyDescent="0.2">
      <c r="A162" s="207">
        <v>1157</v>
      </c>
      <c r="B162" s="207" t="s">
        <v>104</v>
      </c>
      <c r="C162" s="207" t="s">
        <v>799</v>
      </c>
      <c r="D162" s="207" t="s">
        <v>1103</v>
      </c>
      <c r="E162" s="281">
        <v>0</v>
      </c>
      <c r="F162" s="281"/>
      <c r="G162" s="282">
        <v>37765</v>
      </c>
      <c r="H162" s="351" t="str">
        <f t="shared" si="10"/>
        <v>Ben Theobald</v>
      </c>
      <c r="I162" s="353">
        <f t="shared" si="11"/>
        <v>1157</v>
      </c>
      <c r="J162" s="353">
        <f t="shared" si="12"/>
        <v>37765</v>
      </c>
    </row>
    <row r="163" spans="1:10" x14ac:dyDescent="0.2">
      <c r="A163" s="207">
        <v>1158</v>
      </c>
      <c r="B163" s="207" t="s">
        <v>104</v>
      </c>
      <c r="C163" s="207" t="s">
        <v>169</v>
      </c>
      <c r="D163" s="207" t="s">
        <v>1103</v>
      </c>
      <c r="E163" s="281">
        <v>0</v>
      </c>
      <c r="F163" s="281"/>
      <c r="G163" s="282">
        <v>37762</v>
      </c>
      <c r="H163" s="351" t="str">
        <f t="shared" si="10"/>
        <v>Ben Wright</v>
      </c>
      <c r="I163" s="353">
        <f t="shared" si="11"/>
        <v>1158</v>
      </c>
      <c r="J163" s="353">
        <f t="shared" si="12"/>
        <v>37762</v>
      </c>
    </row>
    <row r="164" spans="1:10" x14ac:dyDescent="0.2">
      <c r="A164" s="207">
        <v>1159</v>
      </c>
      <c r="B164" s="207" t="s">
        <v>212</v>
      </c>
      <c r="C164" s="207" t="s">
        <v>511</v>
      </c>
      <c r="D164" s="207" t="s">
        <v>1104</v>
      </c>
      <c r="E164" s="281">
        <v>65161</v>
      </c>
      <c r="F164" s="281"/>
      <c r="G164" s="282">
        <v>26026</v>
      </c>
      <c r="H164" s="351" t="str">
        <f t="shared" si="10"/>
        <v>Anthony Clarke</v>
      </c>
      <c r="I164" s="353">
        <f t="shared" si="11"/>
        <v>1159</v>
      </c>
      <c r="J164" s="353">
        <f t="shared" si="12"/>
        <v>26026</v>
      </c>
    </row>
    <row r="165" spans="1:10" x14ac:dyDescent="0.2">
      <c r="A165" s="207">
        <v>1160</v>
      </c>
      <c r="B165" s="207" t="s">
        <v>106</v>
      </c>
      <c r="C165" s="207" t="s">
        <v>511</v>
      </c>
      <c r="D165" s="207" t="s">
        <v>1104</v>
      </c>
      <c r="E165" s="281">
        <v>0</v>
      </c>
      <c r="F165" s="281"/>
      <c r="G165" s="282">
        <v>36339</v>
      </c>
      <c r="H165" s="351" t="str">
        <f t="shared" si="10"/>
        <v>Harry Clarke</v>
      </c>
      <c r="I165" s="353">
        <f t="shared" si="11"/>
        <v>1160</v>
      </c>
      <c r="J165" s="353">
        <f t="shared" si="12"/>
        <v>36339</v>
      </c>
    </row>
    <row r="166" spans="1:10" x14ac:dyDescent="0.2">
      <c r="A166" s="207">
        <v>1161</v>
      </c>
      <c r="B166" s="207" t="s">
        <v>51</v>
      </c>
      <c r="C166" s="207" t="s">
        <v>514</v>
      </c>
      <c r="D166" s="207" t="s">
        <v>1104</v>
      </c>
      <c r="E166" s="281">
        <v>0</v>
      </c>
      <c r="F166" s="281" t="s">
        <v>35</v>
      </c>
      <c r="G166" s="282">
        <v>37063</v>
      </c>
      <c r="H166" s="351" t="str">
        <f t="shared" si="10"/>
        <v>Annabelle Folkard</v>
      </c>
      <c r="I166" s="353">
        <f t="shared" si="11"/>
        <v>1161</v>
      </c>
      <c r="J166" s="353">
        <f t="shared" si="12"/>
        <v>37063</v>
      </c>
    </row>
    <row r="167" spans="1:10" x14ac:dyDescent="0.2">
      <c r="A167" s="207">
        <v>1162</v>
      </c>
      <c r="B167" s="207" t="s">
        <v>184</v>
      </c>
      <c r="C167" s="207" t="s">
        <v>514</v>
      </c>
      <c r="D167" s="207" t="s">
        <v>1104</v>
      </c>
      <c r="E167" s="281">
        <v>0</v>
      </c>
      <c r="F167" s="281" t="s">
        <v>35</v>
      </c>
      <c r="G167" s="282">
        <v>36292</v>
      </c>
      <c r="H167" s="351" t="str">
        <f t="shared" si="10"/>
        <v>Eleanor Folkard</v>
      </c>
      <c r="I167" s="353">
        <f t="shared" si="11"/>
        <v>1162</v>
      </c>
      <c r="J167" s="353">
        <f t="shared" si="12"/>
        <v>36292</v>
      </c>
    </row>
    <row r="168" spans="1:10" x14ac:dyDescent="0.2">
      <c r="A168" s="207">
        <v>1163</v>
      </c>
      <c r="B168" s="207" t="s">
        <v>625</v>
      </c>
      <c r="C168" s="207" t="s">
        <v>626</v>
      </c>
      <c r="D168" s="207" t="s">
        <v>1104</v>
      </c>
      <c r="E168" s="281">
        <v>11973100</v>
      </c>
      <c r="F168" s="281" t="s">
        <v>35</v>
      </c>
      <c r="G168" s="282">
        <v>36053</v>
      </c>
      <c r="H168" s="351" t="str">
        <f t="shared" si="10"/>
        <v>Freya Giles</v>
      </c>
      <c r="I168" s="353">
        <f t="shared" si="11"/>
        <v>1163</v>
      </c>
      <c r="J168" s="353">
        <f t="shared" si="12"/>
        <v>36053</v>
      </c>
    </row>
    <row r="169" spans="1:10" x14ac:dyDescent="0.2">
      <c r="A169" s="207">
        <v>1164</v>
      </c>
      <c r="B169" s="207" t="s">
        <v>117</v>
      </c>
      <c r="C169" s="207" t="s">
        <v>1105</v>
      </c>
      <c r="D169" s="207" t="s">
        <v>1104</v>
      </c>
      <c r="E169" s="281"/>
      <c r="F169" s="281" t="s">
        <v>35</v>
      </c>
      <c r="G169" s="282"/>
      <c r="H169" s="351" t="str">
        <f t="shared" si="10"/>
        <v>Chris Reynolds</v>
      </c>
      <c r="I169" s="353">
        <f t="shared" si="11"/>
        <v>1164</v>
      </c>
      <c r="J169" s="353">
        <f t="shared" si="12"/>
        <v>0</v>
      </c>
    </row>
    <row r="170" spans="1:10" x14ac:dyDescent="0.2">
      <c r="A170" s="207">
        <v>1165</v>
      </c>
      <c r="B170" s="207" t="s">
        <v>1106</v>
      </c>
      <c r="C170" s="207" t="s">
        <v>1107</v>
      </c>
      <c r="D170" s="207" t="s">
        <v>1104</v>
      </c>
      <c r="E170" s="281">
        <v>896194</v>
      </c>
      <c r="F170" s="281" t="s">
        <v>35</v>
      </c>
      <c r="G170" s="282">
        <v>34108</v>
      </c>
      <c r="H170" s="351" t="str">
        <f t="shared" si="10"/>
        <v>Kirsty Snell</v>
      </c>
      <c r="I170" s="353">
        <f t="shared" si="11"/>
        <v>1165</v>
      </c>
      <c r="J170" s="353">
        <f t="shared" si="12"/>
        <v>34108</v>
      </c>
    </row>
    <row r="171" spans="1:10" x14ac:dyDescent="0.2">
      <c r="A171" s="207">
        <v>1166</v>
      </c>
      <c r="B171" s="207" t="s">
        <v>129</v>
      </c>
      <c r="C171" s="207" t="s">
        <v>512</v>
      </c>
      <c r="D171" s="207" t="s">
        <v>1108</v>
      </c>
      <c r="E171" s="281">
        <v>706463</v>
      </c>
      <c r="F171" s="281"/>
      <c r="G171" s="282">
        <v>33679</v>
      </c>
      <c r="H171" s="351" t="str">
        <f t="shared" si="10"/>
        <v>Tom Hadley</v>
      </c>
      <c r="I171" s="353">
        <f t="shared" si="11"/>
        <v>1166</v>
      </c>
      <c r="J171" s="353">
        <f t="shared" si="12"/>
        <v>33679</v>
      </c>
    </row>
    <row r="172" spans="1:10" x14ac:dyDescent="0.2">
      <c r="A172" s="207">
        <v>1167</v>
      </c>
      <c r="B172" s="207" t="s">
        <v>122</v>
      </c>
      <c r="C172" s="207" t="s">
        <v>141</v>
      </c>
      <c r="D172" s="207" t="s">
        <v>1108</v>
      </c>
      <c r="E172" s="281">
        <v>0</v>
      </c>
      <c r="F172" s="281"/>
      <c r="G172" s="282">
        <v>37799</v>
      </c>
      <c r="H172" s="351" t="str">
        <f t="shared" si="10"/>
        <v>Henry Hill</v>
      </c>
      <c r="I172" s="353">
        <f t="shared" si="11"/>
        <v>1167</v>
      </c>
      <c r="J172" s="353">
        <f t="shared" si="12"/>
        <v>37799</v>
      </c>
    </row>
    <row r="173" spans="1:10" x14ac:dyDescent="0.2">
      <c r="A173" s="207">
        <v>1168</v>
      </c>
      <c r="B173" s="207" t="s">
        <v>191</v>
      </c>
      <c r="C173" s="207" t="s">
        <v>141</v>
      </c>
      <c r="D173" s="207" t="s">
        <v>1108</v>
      </c>
      <c r="E173" s="281">
        <v>0</v>
      </c>
      <c r="F173" s="281" t="s">
        <v>35</v>
      </c>
      <c r="G173" s="282">
        <v>37046</v>
      </c>
      <c r="H173" s="351" t="str">
        <f t="shared" si="10"/>
        <v>Olivia Hill</v>
      </c>
      <c r="I173" s="353">
        <f t="shared" si="11"/>
        <v>1168</v>
      </c>
      <c r="J173" s="353">
        <f t="shared" si="12"/>
        <v>37046</v>
      </c>
    </row>
    <row r="174" spans="1:10" x14ac:dyDescent="0.2">
      <c r="A174" s="207">
        <v>1169</v>
      </c>
      <c r="B174" s="207" t="s">
        <v>122</v>
      </c>
      <c r="C174" s="207" t="s">
        <v>853</v>
      </c>
      <c r="D174" s="207" t="s">
        <v>1108</v>
      </c>
      <c r="E174" s="281">
        <v>0</v>
      </c>
      <c r="F174" s="281"/>
      <c r="G174" s="282">
        <v>37914</v>
      </c>
      <c r="H174" s="351" t="str">
        <f t="shared" si="10"/>
        <v>Henry Pegge</v>
      </c>
      <c r="I174" s="353">
        <f t="shared" si="11"/>
        <v>1169</v>
      </c>
      <c r="J174" s="353">
        <f t="shared" si="12"/>
        <v>37914</v>
      </c>
    </row>
    <row r="175" spans="1:10" x14ac:dyDescent="0.2">
      <c r="A175" s="207">
        <v>1170</v>
      </c>
      <c r="B175" s="207" t="s">
        <v>71</v>
      </c>
      <c r="C175" s="207" t="s">
        <v>559</v>
      </c>
      <c r="D175" s="207" t="s">
        <v>1108</v>
      </c>
      <c r="E175" s="281">
        <v>0</v>
      </c>
      <c r="F175" s="281"/>
      <c r="G175" s="282">
        <v>36217</v>
      </c>
      <c r="H175" s="351" t="str">
        <f t="shared" si="10"/>
        <v>Dan Porter</v>
      </c>
      <c r="I175" s="353">
        <f t="shared" si="11"/>
        <v>1170</v>
      </c>
      <c r="J175" s="353">
        <f t="shared" si="12"/>
        <v>36217</v>
      </c>
    </row>
    <row r="176" spans="1:10" x14ac:dyDescent="0.2">
      <c r="A176" s="207">
        <v>1171</v>
      </c>
      <c r="B176" s="207" t="s">
        <v>852</v>
      </c>
      <c r="C176" s="207" t="s">
        <v>169</v>
      </c>
      <c r="D176" s="207" t="s">
        <v>1108</v>
      </c>
      <c r="E176" s="281">
        <v>0</v>
      </c>
      <c r="F176" s="281" t="s">
        <v>35</v>
      </c>
      <c r="G176" s="282">
        <v>38101</v>
      </c>
      <c r="H176" s="351" t="str">
        <f t="shared" si="10"/>
        <v>Imogen Wright</v>
      </c>
      <c r="I176" s="353">
        <f t="shared" si="11"/>
        <v>1171</v>
      </c>
      <c r="J176" s="353">
        <f t="shared" si="12"/>
        <v>38101</v>
      </c>
    </row>
    <row r="177" spans="1:10" x14ac:dyDescent="0.2">
      <c r="A177" s="207">
        <v>1172</v>
      </c>
      <c r="B177" s="207" t="s">
        <v>532</v>
      </c>
      <c r="C177" s="207" t="s">
        <v>533</v>
      </c>
      <c r="D177" s="207" t="s">
        <v>534</v>
      </c>
      <c r="E177" s="281">
        <v>713686</v>
      </c>
      <c r="F177" s="281"/>
      <c r="G177" s="282">
        <v>25025</v>
      </c>
      <c r="H177" s="351" t="str">
        <f t="shared" si="10"/>
        <v>Calvin Blayney</v>
      </c>
      <c r="I177" s="353">
        <f t="shared" si="11"/>
        <v>1172</v>
      </c>
      <c r="J177" s="353">
        <f t="shared" si="12"/>
        <v>25025</v>
      </c>
    </row>
    <row r="178" spans="1:10" x14ac:dyDescent="0.2">
      <c r="A178" s="207">
        <v>1173</v>
      </c>
      <c r="B178" s="207" t="s">
        <v>535</v>
      </c>
      <c r="C178" s="207" t="s">
        <v>533</v>
      </c>
      <c r="D178" s="207" t="s">
        <v>534</v>
      </c>
      <c r="E178" s="281">
        <v>0</v>
      </c>
      <c r="F178" s="281" t="s">
        <v>35</v>
      </c>
      <c r="G178" s="282">
        <v>36985</v>
      </c>
      <c r="H178" s="351" t="str">
        <f t="shared" si="10"/>
        <v>Anya Blayney</v>
      </c>
      <c r="I178" s="353">
        <f t="shared" si="11"/>
        <v>1173</v>
      </c>
      <c r="J178" s="353">
        <f t="shared" si="12"/>
        <v>36985</v>
      </c>
    </row>
    <row r="179" spans="1:10" x14ac:dyDescent="0.2">
      <c r="A179" s="207">
        <v>1174</v>
      </c>
      <c r="B179" s="207" t="s">
        <v>126</v>
      </c>
      <c r="C179" s="207" t="s">
        <v>533</v>
      </c>
      <c r="D179" s="207" t="s">
        <v>534</v>
      </c>
      <c r="E179" s="281">
        <v>0</v>
      </c>
      <c r="F179" s="281" t="s">
        <v>35</v>
      </c>
      <c r="G179" s="282">
        <v>38121</v>
      </c>
      <c r="H179" s="351" t="str">
        <f t="shared" si="10"/>
        <v>Charlotte Blayney</v>
      </c>
      <c r="I179" s="353">
        <f t="shared" si="11"/>
        <v>1174</v>
      </c>
      <c r="J179" s="353">
        <f t="shared" si="12"/>
        <v>38121</v>
      </c>
    </row>
    <row r="180" spans="1:10" x14ac:dyDescent="0.2">
      <c r="A180" s="207">
        <v>1175</v>
      </c>
      <c r="B180" s="207" t="s">
        <v>93</v>
      </c>
      <c r="C180" s="207" t="s">
        <v>60</v>
      </c>
      <c r="D180" s="207" t="s">
        <v>534</v>
      </c>
      <c r="E180" s="281">
        <v>0</v>
      </c>
      <c r="F180" s="281"/>
      <c r="G180" s="282">
        <v>38058</v>
      </c>
      <c r="H180" s="351" t="str">
        <f t="shared" si="10"/>
        <v>Josh Davies</v>
      </c>
      <c r="I180" s="353">
        <f t="shared" si="11"/>
        <v>1175</v>
      </c>
      <c r="J180" s="353">
        <f t="shared" si="12"/>
        <v>38058</v>
      </c>
    </row>
    <row r="181" spans="1:10" x14ac:dyDescent="0.2">
      <c r="A181" s="207">
        <v>1176</v>
      </c>
      <c r="B181" s="207" t="s">
        <v>1109</v>
      </c>
      <c r="C181" s="207" t="s">
        <v>1110</v>
      </c>
      <c r="D181" s="207" t="s">
        <v>534</v>
      </c>
      <c r="E181" s="281">
        <v>0</v>
      </c>
      <c r="F181" s="281"/>
      <c r="G181" s="282">
        <v>38584</v>
      </c>
      <c r="H181" s="351" t="str">
        <f t="shared" si="10"/>
        <v>Gabriel Franklin</v>
      </c>
      <c r="I181" s="353">
        <f t="shared" si="11"/>
        <v>1176</v>
      </c>
      <c r="J181" s="353">
        <f t="shared" si="12"/>
        <v>38584</v>
      </c>
    </row>
    <row r="182" spans="1:10" x14ac:dyDescent="0.2">
      <c r="A182" s="207">
        <v>1177</v>
      </c>
      <c r="B182" s="207" t="s">
        <v>151</v>
      </c>
      <c r="C182" s="207" t="s">
        <v>141</v>
      </c>
      <c r="D182" s="207" t="s">
        <v>534</v>
      </c>
      <c r="E182" s="281">
        <v>561152</v>
      </c>
      <c r="F182" s="281"/>
      <c r="G182" s="282">
        <v>34962</v>
      </c>
      <c r="H182" s="351" t="str">
        <f t="shared" si="10"/>
        <v>Ryan Hill</v>
      </c>
      <c r="I182" s="353">
        <f t="shared" si="11"/>
        <v>1177</v>
      </c>
      <c r="J182" s="353">
        <f t="shared" si="12"/>
        <v>34962</v>
      </c>
    </row>
    <row r="183" spans="1:10" x14ac:dyDescent="0.2">
      <c r="A183" s="207">
        <v>1178</v>
      </c>
      <c r="B183" s="207" t="s">
        <v>47</v>
      </c>
      <c r="C183" s="207" t="s">
        <v>941</v>
      </c>
      <c r="D183" s="207" t="s">
        <v>536</v>
      </c>
      <c r="E183" s="281">
        <v>277325</v>
      </c>
      <c r="F183" s="281"/>
      <c r="G183" s="282">
        <v>22230</v>
      </c>
      <c r="H183" s="351" t="str">
        <f t="shared" si="10"/>
        <v>Stephen Lane</v>
      </c>
      <c r="I183" s="353">
        <f t="shared" si="11"/>
        <v>1178</v>
      </c>
      <c r="J183" s="353">
        <f t="shared" si="12"/>
        <v>22230</v>
      </c>
    </row>
    <row r="184" spans="1:10" x14ac:dyDescent="0.2">
      <c r="A184" s="207">
        <v>1179</v>
      </c>
      <c r="B184" s="207" t="s">
        <v>69</v>
      </c>
      <c r="C184" s="207" t="s">
        <v>99</v>
      </c>
      <c r="D184" s="207" t="s">
        <v>536</v>
      </c>
      <c r="E184" s="281">
        <v>231070</v>
      </c>
      <c r="F184" s="281"/>
      <c r="G184" s="282">
        <v>22223</v>
      </c>
      <c r="H184" s="351" t="str">
        <f t="shared" si="10"/>
        <v>David Oliver</v>
      </c>
      <c r="I184" s="353">
        <f t="shared" si="11"/>
        <v>1179</v>
      </c>
      <c r="J184" s="353">
        <f t="shared" si="12"/>
        <v>22223</v>
      </c>
    </row>
    <row r="185" spans="1:10" x14ac:dyDescent="0.2">
      <c r="A185" s="207">
        <v>1180</v>
      </c>
      <c r="B185" s="207" t="s">
        <v>480</v>
      </c>
      <c r="C185" s="207" t="s">
        <v>481</v>
      </c>
      <c r="D185" s="207" t="s">
        <v>536</v>
      </c>
      <c r="E185" s="281">
        <v>137286</v>
      </c>
      <c r="F185" s="281" t="s">
        <v>35</v>
      </c>
      <c r="G185" s="282">
        <v>19523</v>
      </c>
      <c r="H185" s="351" t="str">
        <f t="shared" si="10"/>
        <v>Denise Robbins</v>
      </c>
      <c r="I185" s="353">
        <f t="shared" si="11"/>
        <v>1180</v>
      </c>
      <c r="J185" s="353">
        <f t="shared" si="12"/>
        <v>19523</v>
      </c>
    </row>
    <row r="186" spans="1:10" x14ac:dyDescent="0.2">
      <c r="A186" s="207">
        <v>1181</v>
      </c>
      <c r="B186" s="207" t="s">
        <v>69</v>
      </c>
      <c r="C186" s="207" t="s">
        <v>479</v>
      </c>
      <c r="D186" s="207" t="s">
        <v>536</v>
      </c>
      <c r="E186" s="281">
        <v>707812</v>
      </c>
      <c r="F186" s="281"/>
      <c r="G186" s="282">
        <v>25310</v>
      </c>
      <c r="H186" s="351" t="str">
        <f t="shared" si="10"/>
        <v>David Standbridge</v>
      </c>
      <c r="I186" s="353">
        <f t="shared" si="11"/>
        <v>1181</v>
      </c>
      <c r="J186" s="353">
        <f t="shared" si="12"/>
        <v>25310</v>
      </c>
    </row>
    <row r="187" spans="1:10" x14ac:dyDescent="0.2">
      <c r="A187" s="207">
        <v>1182</v>
      </c>
      <c r="B187" s="207" t="s">
        <v>226</v>
      </c>
      <c r="C187" s="207" t="s">
        <v>749</v>
      </c>
      <c r="D187" s="207" t="s">
        <v>536</v>
      </c>
      <c r="E187" s="281">
        <v>0</v>
      </c>
      <c r="F187" s="281" t="s">
        <v>35</v>
      </c>
      <c r="G187" s="282">
        <v>37900</v>
      </c>
      <c r="H187" s="351" t="str">
        <f t="shared" si="10"/>
        <v>Lucy Eadon</v>
      </c>
      <c r="I187" s="353">
        <f t="shared" si="11"/>
        <v>1182</v>
      </c>
      <c r="J187" s="353">
        <f t="shared" si="12"/>
        <v>37900</v>
      </c>
    </row>
    <row r="188" spans="1:10" x14ac:dyDescent="0.2">
      <c r="A188" s="207">
        <v>1183</v>
      </c>
      <c r="B188" s="207" t="s">
        <v>104</v>
      </c>
      <c r="C188" s="207" t="s">
        <v>942</v>
      </c>
      <c r="D188" s="207" t="s">
        <v>536</v>
      </c>
      <c r="E188" s="281">
        <v>0</v>
      </c>
      <c r="F188" s="281"/>
      <c r="G188" s="282">
        <v>38293</v>
      </c>
      <c r="H188" s="351" t="str">
        <f t="shared" si="10"/>
        <v>Ben Hodges</v>
      </c>
      <c r="I188" s="353">
        <f t="shared" si="11"/>
        <v>1183</v>
      </c>
      <c r="J188" s="353">
        <f t="shared" si="12"/>
        <v>38293</v>
      </c>
    </row>
    <row r="189" spans="1:10" x14ac:dyDescent="0.2">
      <c r="A189" s="207">
        <v>1184</v>
      </c>
      <c r="B189" s="207" t="s">
        <v>106</v>
      </c>
      <c r="C189" s="207" t="s">
        <v>944</v>
      </c>
      <c r="D189" s="207" t="s">
        <v>536</v>
      </c>
      <c r="E189" s="281">
        <v>0</v>
      </c>
      <c r="F189" s="281"/>
      <c r="G189" s="282">
        <v>38177</v>
      </c>
      <c r="H189" s="351" t="str">
        <f t="shared" si="10"/>
        <v>Harry Hoult</v>
      </c>
      <c r="I189" s="353">
        <f t="shared" si="11"/>
        <v>1184</v>
      </c>
      <c r="J189" s="353">
        <f t="shared" si="12"/>
        <v>38177</v>
      </c>
    </row>
    <row r="190" spans="1:10" x14ac:dyDescent="0.2">
      <c r="A190" s="207">
        <v>1185</v>
      </c>
      <c r="B190" s="207" t="s">
        <v>152</v>
      </c>
      <c r="C190" s="207" t="s">
        <v>623</v>
      </c>
      <c r="D190" s="207" t="s">
        <v>536</v>
      </c>
      <c r="E190" s="281">
        <v>303598</v>
      </c>
      <c r="F190" s="281"/>
      <c r="G190" s="282">
        <v>32574</v>
      </c>
      <c r="H190" s="351" t="str">
        <f t="shared" si="10"/>
        <v>Stuart Killen</v>
      </c>
      <c r="I190" s="353">
        <f t="shared" si="11"/>
        <v>1185</v>
      </c>
      <c r="J190" s="353">
        <f t="shared" si="12"/>
        <v>32574</v>
      </c>
    </row>
    <row r="191" spans="1:10" x14ac:dyDescent="0.2">
      <c r="A191" s="207">
        <v>1186</v>
      </c>
      <c r="B191" s="207" t="s">
        <v>126</v>
      </c>
      <c r="C191" s="207" t="s">
        <v>851</v>
      </c>
      <c r="D191" s="207" t="s">
        <v>536</v>
      </c>
      <c r="E191" s="281"/>
      <c r="F191" s="281" t="s">
        <v>35</v>
      </c>
      <c r="G191" s="282">
        <v>36839</v>
      </c>
      <c r="H191" s="351" t="str">
        <f t="shared" si="10"/>
        <v>Charlotte Thornton</v>
      </c>
      <c r="I191" s="353">
        <f t="shared" si="11"/>
        <v>1186</v>
      </c>
      <c r="J191" s="353">
        <f t="shared" si="12"/>
        <v>36839</v>
      </c>
    </row>
    <row r="192" spans="1:10" x14ac:dyDescent="0.2">
      <c r="A192" s="207">
        <v>1187</v>
      </c>
      <c r="B192" s="207" t="s">
        <v>84</v>
      </c>
      <c r="C192" s="207" t="s">
        <v>943</v>
      </c>
      <c r="D192" s="207" t="s">
        <v>1111</v>
      </c>
      <c r="E192" s="281">
        <v>0</v>
      </c>
      <c r="F192" s="281"/>
      <c r="G192" s="282">
        <v>37524</v>
      </c>
      <c r="H192" s="351" t="str">
        <f t="shared" si="10"/>
        <v>Sam Gayler</v>
      </c>
      <c r="I192" s="353">
        <f t="shared" si="11"/>
        <v>1187</v>
      </c>
      <c r="J192" s="353">
        <f t="shared" si="12"/>
        <v>37524</v>
      </c>
    </row>
    <row r="193" spans="1:10" x14ac:dyDescent="0.2">
      <c r="A193" s="207">
        <v>1188</v>
      </c>
      <c r="B193" s="207" t="s">
        <v>207</v>
      </c>
      <c r="C193" s="207" t="s">
        <v>537</v>
      </c>
      <c r="D193" s="207" t="s">
        <v>1111</v>
      </c>
      <c r="E193" s="281">
        <v>0</v>
      </c>
      <c r="F193" s="281"/>
      <c r="G193" s="282">
        <v>37428</v>
      </c>
      <c r="H193" s="351" t="str">
        <f t="shared" si="10"/>
        <v>Simon Peall</v>
      </c>
      <c r="I193" s="353">
        <f t="shared" si="11"/>
        <v>1188</v>
      </c>
      <c r="J193" s="353">
        <f t="shared" si="12"/>
        <v>37428</v>
      </c>
    </row>
    <row r="194" spans="1:10" x14ac:dyDescent="0.2">
      <c r="A194" s="207">
        <v>1189</v>
      </c>
      <c r="B194" s="207" t="s">
        <v>539</v>
      </c>
      <c r="C194" s="207" t="s">
        <v>540</v>
      </c>
      <c r="D194" s="207" t="s">
        <v>1111</v>
      </c>
      <c r="E194" s="281">
        <v>0</v>
      </c>
      <c r="F194" s="281" t="s">
        <v>35</v>
      </c>
      <c r="G194" s="282">
        <v>37063</v>
      </c>
      <c r="H194" s="351" t="str">
        <f t="shared" si="10"/>
        <v>Annabel Peet</v>
      </c>
      <c r="I194" s="353">
        <f t="shared" si="11"/>
        <v>1189</v>
      </c>
      <c r="J194" s="353">
        <f t="shared" si="12"/>
        <v>37063</v>
      </c>
    </row>
    <row r="195" spans="1:10" x14ac:dyDescent="0.2">
      <c r="A195" s="207">
        <v>1190</v>
      </c>
      <c r="B195" s="207" t="s">
        <v>133</v>
      </c>
      <c r="C195" s="207" t="s">
        <v>750</v>
      </c>
      <c r="D195" s="207" t="s">
        <v>1111</v>
      </c>
      <c r="E195" s="281">
        <v>0</v>
      </c>
      <c r="F195" s="281"/>
      <c r="G195" s="282">
        <v>37246</v>
      </c>
      <c r="H195" s="351" t="str">
        <f t="shared" si="10"/>
        <v>Adam Sokol</v>
      </c>
      <c r="I195" s="353">
        <f t="shared" si="11"/>
        <v>1190</v>
      </c>
      <c r="J195" s="353">
        <f t="shared" si="12"/>
        <v>37246</v>
      </c>
    </row>
    <row r="196" spans="1:10" x14ac:dyDescent="0.2">
      <c r="A196" s="207">
        <v>1191</v>
      </c>
      <c r="B196" s="207" t="s">
        <v>222</v>
      </c>
      <c r="C196" s="207" t="s">
        <v>88</v>
      </c>
      <c r="D196" s="207" t="s">
        <v>560</v>
      </c>
      <c r="E196" s="281">
        <v>286110</v>
      </c>
      <c r="F196" s="281"/>
      <c r="G196" s="282">
        <v>22399</v>
      </c>
      <c r="H196" s="351" t="str">
        <f t="shared" si="10"/>
        <v>Alan Herbert</v>
      </c>
      <c r="I196" s="353">
        <f t="shared" si="11"/>
        <v>1191</v>
      </c>
      <c r="J196" s="353">
        <f t="shared" si="12"/>
        <v>22399</v>
      </c>
    </row>
    <row r="197" spans="1:10" x14ac:dyDescent="0.2">
      <c r="A197" s="207">
        <v>1192</v>
      </c>
      <c r="B197" s="207" t="s">
        <v>681</v>
      </c>
      <c r="C197" s="207" t="s">
        <v>53</v>
      </c>
      <c r="D197" s="207" t="s">
        <v>560</v>
      </c>
      <c r="E197" s="281">
        <v>0</v>
      </c>
      <c r="F197" s="281"/>
      <c r="G197" s="282">
        <v>36945</v>
      </c>
      <c r="H197" s="351" t="str">
        <f t="shared" si="10"/>
        <v>Fraser Brown</v>
      </c>
      <c r="I197" s="353">
        <f t="shared" si="11"/>
        <v>1192</v>
      </c>
      <c r="J197" s="353">
        <f t="shared" si="12"/>
        <v>36945</v>
      </c>
    </row>
    <row r="198" spans="1:10" x14ac:dyDescent="0.2">
      <c r="A198" s="207">
        <v>1193</v>
      </c>
      <c r="B198" s="207" t="s">
        <v>49</v>
      </c>
      <c r="C198" s="207" t="s">
        <v>1112</v>
      </c>
      <c r="D198" s="207" t="s">
        <v>560</v>
      </c>
      <c r="E198" s="281">
        <v>0</v>
      </c>
      <c r="F198" s="281"/>
      <c r="G198" s="282">
        <v>36704</v>
      </c>
      <c r="H198" s="351" t="str">
        <f t="shared" si="10"/>
        <v>James Highfield</v>
      </c>
      <c r="I198" s="353">
        <f t="shared" si="11"/>
        <v>1193</v>
      </c>
      <c r="J198" s="353">
        <f t="shared" si="12"/>
        <v>36704</v>
      </c>
    </row>
    <row r="199" spans="1:10" x14ac:dyDescent="0.2">
      <c r="A199" s="207">
        <v>1194</v>
      </c>
      <c r="B199" s="207" t="s">
        <v>541</v>
      </c>
      <c r="C199" s="207" t="s">
        <v>1113</v>
      </c>
      <c r="D199" s="207" t="s">
        <v>560</v>
      </c>
      <c r="E199" s="281">
        <v>0</v>
      </c>
      <c r="F199" s="281"/>
      <c r="G199" s="282">
        <v>38275</v>
      </c>
      <c r="H199" s="351" t="str">
        <f t="shared" si="10"/>
        <v>Charles Hoyland</v>
      </c>
      <c r="I199" s="353">
        <f t="shared" si="11"/>
        <v>1194</v>
      </c>
      <c r="J199" s="353">
        <f t="shared" si="12"/>
        <v>38275</v>
      </c>
    </row>
    <row r="200" spans="1:10" x14ac:dyDescent="0.2">
      <c r="A200" s="207">
        <v>1195</v>
      </c>
      <c r="B200" s="207" t="s">
        <v>858</v>
      </c>
      <c r="C200" s="207" t="s">
        <v>172</v>
      </c>
      <c r="D200" s="207" t="s">
        <v>560</v>
      </c>
      <c r="E200" s="281">
        <v>0</v>
      </c>
      <c r="F200" s="281"/>
      <c r="G200" s="282">
        <v>38373</v>
      </c>
      <c r="H200" s="351" t="str">
        <f t="shared" si="10"/>
        <v>Hayden Jackson</v>
      </c>
      <c r="I200" s="353">
        <f t="shared" si="11"/>
        <v>1195</v>
      </c>
      <c r="J200" s="353">
        <f t="shared" si="12"/>
        <v>38373</v>
      </c>
    </row>
    <row r="201" spans="1:10" x14ac:dyDescent="0.2">
      <c r="A201" s="207">
        <v>1196</v>
      </c>
      <c r="B201" s="207" t="s">
        <v>1114</v>
      </c>
      <c r="C201" s="207" t="s">
        <v>172</v>
      </c>
      <c r="D201" s="207" t="s">
        <v>560</v>
      </c>
      <c r="E201" s="281">
        <v>0</v>
      </c>
      <c r="F201" s="281"/>
      <c r="G201" s="282">
        <v>37736</v>
      </c>
      <c r="H201" s="351" t="str">
        <f t="shared" ref="H201:H264" si="13">CONCATENATE(B201," ",C201)</f>
        <v>Reuben Jackson</v>
      </c>
      <c r="I201" s="353">
        <f t="shared" ref="I201:I264" si="14">A201</f>
        <v>1196</v>
      </c>
      <c r="J201" s="353">
        <f t="shared" ref="J201:J264" si="15">G201</f>
        <v>37736</v>
      </c>
    </row>
    <row r="202" spans="1:10" x14ac:dyDescent="0.2">
      <c r="A202" s="207">
        <v>1197</v>
      </c>
      <c r="B202" s="207" t="s">
        <v>947</v>
      </c>
      <c r="C202" s="207" t="s">
        <v>948</v>
      </c>
      <c r="D202" s="207" t="s">
        <v>560</v>
      </c>
      <c r="E202" s="281">
        <v>0</v>
      </c>
      <c r="F202" s="281"/>
      <c r="G202" s="282">
        <v>37663</v>
      </c>
      <c r="H202" s="351" t="str">
        <f t="shared" si="13"/>
        <v>Hugh Lea</v>
      </c>
      <c r="I202" s="353">
        <f t="shared" si="14"/>
        <v>1197</v>
      </c>
      <c r="J202" s="353">
        <f t="shared" si="15"/>
        <v>37663</v>
      </c>
    </row>
    <row r="203" spans="1:10" x14ac:dyDescent="0.2">
      <c r="A203" s="207">
        <v>1198</v>
      </c>
      <c r="B203" s="207" t="s">
        <v>733</v>
      </c>
      <c r="C203" s="207" t="s">
        <v>70</v>
      </c>
      <c r="D203" s="207" t="s">
        <v>560</v>
      </c>
      <c r="E203" s="281">
        <v>0</v>
      </c>
      <c r="F203" s="281"/>
      <c r="G203" s="282">
        <v>36839</v>
      </c>
      <c r="H203" s="351" t="str">
        <f t="shared" si="13"/>
        <v>Arron Smith</v>
      </c>
      <c r="I203" s="353">
        <f t="shared" si="14"/>
        <v>1198</v>
      </c>
      <c r="J203" s="353">
        <f t="shared" si="15"/>
        <v>36839</v>
      </c>
    </row>
    <row r="204" spans="1:10" x14ac:dyDescent="0.2">
      <c r="A204" s="207">
        <v>1199</v>
      </c>
      <c r="B204" s="207" t="s">
        <v>728</v>
      </c>
      <c r="C204" s="207" t="s">
        <v>70</v>
      </c>
      <c r="D204" s="207" t="s">
        <v>560</v>
      </c>
      <c r="E204" s="281">
        <v>0</v>
      </c>
      <c r="F204" s="281" t="s">
        <v>35</v>
      </c>
      <c r="G204" s="282">
        <v>38741</v>
      </c>
      <c r="H204" s="351" t="str">
        <f t="shared" si="13"/>
        <v>Bethany Smith</v>
      </c>
      <c r="I204" s="353">
        <f t="shared" si="14"/>
        <v>1199</v>
      </c>
      <c r="J204" s="353">
        <f t="shared" si="15"/>
        <v>38741</v>
      </c>
    </row>
    <row r="205" spans="1:10" x14ac:dyDescent="0.2">
      <c r="A205" s="207">
        <v>1200</v>
      </c>
      <c r="B205" s="207" t="s">
        <v>622</v>
      </c>
      <c r="C205" s="207" t="s">
        <v>70</v>
      </c>
      <c r="D205" s="207" t="s">
        <v>560</v>
      </c>
      <c r="E205" s="281">
        <v>0</v>
      </c>
      <c r="F205" s="281"/>
      <c r="G205" s="282">
        <v>36715</v>
      </c>
      <c r="H205" s="351" t="str">
        <f t="shared" si="13"/>
        <v>Elliott Smith</v>
      </c>
      <c r="I205" s="353">
        <f t="shared" si="14"/>
        <v>1200</v>
      </c>
      <c r="J205" s="353">
        <f t="shared" si="15"/>
        <v>36715</v>
      </c>
    </row>
    <row r="206" spans="1:10" x14ac:dyDescent="0.2">
      <c r="A206" s="207">
        <v>1201</v>
      </c>
      <c r="B206" s="207" t="s">
        <v>92</v>
      </c>
      <c r="C206" s="207" t="s">
        <v>1113</v>
      </c>
      <c r="D206" s="207" t="s">
        <v>560</v>
      </c>
      <c r="E206" s="281"/>
      <c r="F206" s="281"/>
      <c r="G206" s="282"/>
      <c r="H206" s="351" t="str">
        <f t="shared" si="13"/>
        <v>Paul Hoyland</v>
      </c>
      <c r="I206" s="353">
        <f t="shared" si="14"/>
        <v>1201</v>
      </c>
      <c r="J206" s="353">
        <f t="shared" si="15"/>
        <v>0</v>
      </c>
    </row>
    <row r="207" spans="1:10" x14ac:dyDescent="0.2">
      <c r="A207" s="207">
        <v>1202</v>
      </c>
      <c r="B207" s="207" t="s">
        <v>642</v>
      </c>
      <c r="C207" s="207" t="s">
        <v>486</v>
      </c>
      <c r="D207" s="207" t="s">
        <v>560</v>
      </c>
      <c r="E207" s="281">
        <v>0</v>
      </c>
      <c r="F207" s="281"/>
      <c r="G207" s="282">
        <v>37585</v>
      </c>
      <c r="H207" s="351" t="str">
        <f t="shared" si="13"/>
        <v>Robin Sturgess</v>
      </c>
      <c r="I207" s="353">
        <f t="shared" si="14"/>
        <v>1202</v>
      </c>
      <c r="J207" s="353">
        <f t="shared" si="15"/>
        <v>37585</v>
      </c>
    </row>
    <row r="208" spans="1:10" x14ac:dyDescent="0.2">
      <c r="A208" s="207">
        <v>1203</v>
      </c>
      <c r="B208" s="207" t="s">
        <v>92</v>
      </c>
      <c r="C208" s="207" t="s">
        <v>180</v>
      </c>
      <c r="D208" s="207" t="s">
        <v>1115</v>
      </c>
      <c r="E208" s="281">
        <v>164960</v>
      </c>
      <c r="F208" s="281"/>
      <c r="G208" s="282">
        <v>23113</v>
      </c>
      <c r="H208" s="351" t="str">
        <f t="shared" si="13"/>
        <v>Paul Gregory</v>
      </c>
      <c r="I208" s="353">
        <f t="shared" si="14"/>
        <v>1203</v>
      </c>
      <c r="J208" s="353">
        <f t="shared" si="15"/>
        <v>23113</v>
      </c>
    </row>
    <row r="209" spans="1:10" x14ac:dyDescent="0.2">
      <c r="A209" s="207">
        <v>1204</v>
      </c>
      <c r="B209" s="207" t="s">
        <v>181</v>
      </c>
      <c r="C209" s="207" t="s">
        <v>121</v>
      </c>
      <c r="D209" s="207" t="s">
        <v>1115</v>
      </c>
      <c r="E209" s="281">
        <v>161097</v>
      </c>
      <c r="F209" s="281"/>
      <c r="G209" s="282">
        <v>26062</v>
      </c>
      <c r="H209" s="351" t="str">
        <f t="shared" si="13"/>
        <v>Jon Martin</v>
      </c>
      <c r="I209" s="353">
        <f t="shared" si="14"/>
        <v>1204</v>
      </c>
      <c r="J209" s="353">
        <f t="shared" si="15"/>
        <v>26062</v>
      </c>
    </row>
    <row r="210" spans="1:10" x14ac:dyDescent="0.2">
      <c r="A210" s="207">
        <v>1205</v>
      </c>
      <c r="B210" s="207" t="s">
        <v>632</v>
      </c>
      <c r="C210" s="207" t="s">
        <v>713</v>
      </c>
      <c r="D210" s="207" t="s">
        <v>1115</v>
      </c>
      <c r="E210" s="281">
        <v>149225</v>
      </c>
      <c r="F210" s="281"/>
      <c r="G210" s="282">
        <v>24975</v>
      </c>
      <c r="H210" s="351" t="str">
        <f t="shared" si="13"/>
        <v>Jim Veall</v>
      </c>
      <c r="I210" s="353">
        <f t="shared" si="14"/>
        <v>1205</v>
      </c>
      <c r="J210" s="353">
        <f t="shared" si="15"/>
        <v>24975</v>
      </c>
    </row>
    <row r="211" spans="1:10" x14ac:dyDescent="0.2">
      <c r="A211" s="207">
        <v>1206</v>
      </c>
      <c r="B211" s="207" t="s">
        <v>1116</v>
      </c>
      <c r="C211" s="207" t="s">
        <v>1117</v>
      </c>
      <c r="D211" s="207" t="s">
        <v>1115</v>
      </c>
      <c r="E211" s="281">
        <v>0</v>
      </c>
      <c r="F211" s="281" t="s">
        <v>35</v>
      </c>
      <c r="G211" s="282">
        <v>37333</v>
      </c>
      <c r="H211" s="351" t="str">
        <f t="shared" si="13"/>
        <v>Tara Gardener</v>
      </c>
      <c r="I211" s="353">
        <f t="shared" si="14"/>
        <v>1206</v>
      </c>
      <c r="J211" s="353">
        <f t="shared" si="15"/>
        <v>37333</v>
      </c>
    </row>
    <row r="212" spans="1:10" x14ac:dyDescent="0.2">
      <c r="A212" s="207">
        <v>1207</v>
      </c>
      <c r="B212" s="207" t="s">
        <v>881</v>
      </c>
      <c r="C212" s="207" t="s">
        <v>112</v>
      </c>
      <c r="D212" s="207" t="s">
        <v>1115</v>
      </c>
      <c r="E212" s="281">
        <v>741296</v>
      </c>
      <c r="F212" s="281"/>
      <c r="G212" s="282">
        <v>35316</v>
      </c>
      <c r="H212" s="351" t="str">
        <f t="shared" si="13"/>
        <v>Iestyn Jenkins</v>
      </c>
      <c r="I212" s="353">
        <f t="shared" si="14"/>
        <v>1207</v>
      </c>
      <c r="J212" s="353">
        <f t="shared" si="15"/>
        <v>35316</v>
      </c>
    </row>
    <row r="213" spans="1:10" x14ac:dyDescent="0.2">
      <c r="A213" s="207">
        <v>1208</v>
      </c>
      <c r="B213" s="207" t="s">
        <v>99</v>
      </c>
      <c r="C213" s="207" t="s">
        <v>96</v>
      </c>
      <c r="D213" s="207" t="s">
        <v>1115</v>
      </c>
      <c r="E213" s="281">
        <v>0</v>
      </c>
      <c r="F213" s="281"/>
      <c r="G213" s="282">
        <v>37361</v>
      </c>
      <c r="H213" s="351" t="str">
        <f t="shared" si="13"/>
        <v>Oliver Thomas</v>
      </c>
      <c r="I213" s="353">
        <f t="shared" si="14"/>
        <v>1208</v>
      </c>
      <c r="J213" s="353">
        <f t="shared" si="15"/>
        <v>37361</v>
      </c>
    </row>
    <row r="214" spans="1:10" x14ac:dyDescent="0.2">
      <c r="A214" s="207">
        <v>1209</v>
      </c>
      <c r="B214" s="207" t="s">
        <v>67</v>
      </c>
      <c r="C214" s="207" t="s">
        <v>713</v>
      </c>
      <c r="D214" s="207" t="s">
        <v>1115</v>
      </c>
      <c r="E214" s="281">
        <v>0</v>
      </c>
      <c r="F214" s="281"/>
      <c r="G214" s="282">
        <v>37184</v>
      </c>
      <c r="H214" s="351" t="str">
        <f t="shared" si="13"/>
        <v>Edward Veall</v>
      </c>
      <c r="I214" s="353">
        <f t="shared" si="14"/>
        <v>1209</v>
      </c>
      <c r="J214" s="353">
        <f t="shared" si="15"/>
        <v>37184</v>
      </c>
    </row>
    <row r="215" spans="1:10" x14ac:dyDescent="0.2">
      <c r="A215" s="207">
        <v>1210</v>
      </c>
      <c r="B215" s="207" t="s">
        <v>665</v>
      </c>
      <c r="C215" s="207" t="s">
        <v>748</v>
      </c>
      <c r="D215" s="207" t="s">
        <v>1001</v>
      </c>
      <c r="E215" s="281">
        <v>0</v>
      </c>
      <c r="F215" s="281" t="s">
        <v>35</v>
      </c>
      <c r="G215" s="282">
        <v>36476</v>
      </c>
      <c r="H215" s="351" t="str">
        <f t="shared" si="13"/>
        <v>Alice Wilson</v>
      </c>
      <c r="I215" s="353">
        <f t="shared" si="14"/>
        <v>1210</v>
      </c>
      <c r="J215" s="353">
        <f t="shared" si="15"/>
        <v>36476</v>
      </c>
    </row>
    <row r="216" spans="1:10" x14ac:dyDescent="0.2">
      <c r="A216" s="207">
        <v>1211</v>
      </c>
      <c r="B216" s="207" t="s">
        <v>58</v>
      </c>
      <c r="C216" s="207" t="s">
        <v>206</v>
      </c>
      <c r="D216" s="207" t="s">
        <v>203</v>
      </c>
      <c r="E216" s="281">
        <v>280074</v>
      </c>
      <c r="F216" s="281"/>
      <c r="G216" s="282">
        <v>18527</v>
      </c>
      <c r="H216" s="351" t="str">
        <f t="shared" si="13"/>
        <v>John Barnes</v>
      </c>
      <c r="I216" s="353">
        <f t="shared" si="14"/>
        <v>1211</v>
      </c>
      <c r="J216" s="353">
        <f t="shared" si="15"/>
        <v>18527</v>
      </c>
    </row>
    <row r="217" spans="1:10" x14ac:dyDescent="0.2">
      <c r="A217" s="207">
        <v>1212</v>
      </c>
      <c r="B217" s="207" t="s">
        <v>1118</v>
      </c>
      <c r="C217" s="207" t="s">
        <v>538</v>
      </c>
      <c r="D217" s="207" t="s">
        <v>1119</v>
      </c>
      <c r="E217" s="281">
        <v>0</v>
      </c>
      <c r="F217" s="281"/>
      <c r="G217" s="282">
        <v>36888</v>
      </c>
      <c r="H217" s="351" t="str">
        <f t="shared" si="13"/>
        <v>Samuel Clark</v>
      </c>
      <c r="I217" s="353">
        <f t="shared" si="14"/>
        <v>1212</v>
      </c>
      <c r="J217" s="353">
        <f t="shared" si="15"/>
        <v>36888</v>
      </c>
    </row>
    <row r="218" spans="1:10" x14ac:dyDescent="0.2">
      <c r="A218" s="207">
        <v>1213</v>
      </c>
      <c r="B218" s="207" t="s">
        <v>1120</v>
      </c>
      <c r="C218" s="207" t="s">
        <v>1121</v>
      </c>
      <c r="D218" s="207" t="s">
        <v>1119</v>
      </c>
      <c r="E218" s="281">
        <v>0</v>
      </c>
      <c r="F218" s="281" t="s">
        <v>35</v>
      </c>
      <c r="G218" s="282">
        <v>36988</v>
      </c>
      <c r="H218" s="351" t="str">
        <f t="shared" si="13"/>
        <v>Cherise McMahon</v>
      </c>
      <c r="I218" s="353">
        <f t="shared" si="14"/>
        <v>1213</v>
      </c>
      <c r="J218" s="353">
        <f t="shared" si="15"/>
        <v>36988</v>
      </c>
    </row>
    <row r="219" spans="1:10" x14ac:dyDescent="0.2">
      <c r="A219" s="207">
        <v>1214</v>
      </c>
      <c r="B219" s="207" t="s">
        <v>1060</v>
      </c>
      <c r="C219" s="207" t="s">
        <v>1122</v>
      </c>
      <c r="D219" s="207" t="s">
        <v>1119</v>
      </c>
      <c r="E219" s="281">
        <v>0</v>
      </c>
      <c r="F219" s="281"/>
      <c r="G219" s="282">
        <v>36774</v>
      </c>
      <c r="H219" s="351" t="str">
        <f t="shared" si="13"/>
        <v>Connor Rumbles</v>
      </c>
      <c r="I219" s="353">
        <f t="shared" si="14"/>
        <v>1214</v>
      </c>
      <c r="J219" s="353">
        <f t="shared" si="15"/>
        <v>36774</v>
      </c>
    </row>
    <row r="220" spans="1:10" x14ac:dyDescent="0.2">
      <c r="A220" s="207">
        <v>1215</v>
      </c>
      <c r="B220" s="207" t="s">
        <v>48</v>
      </c>
      <c r="C220" s="207" t="s">
        <v>70</v>
      </c>
      <c r="D220" s="207" t="s">
        <v>1119</v>
      </c>
      <c r="E220" s="281">
        <v>0</v>
      </c>
      <c r="F220" s="281"/>
      <c r="G220" s="282">
        <v>36920</v>
      </c>
      <c r="H220" s="351" t="str">
        <f t="shared" si="13"/>
        <v>George Smith</v>
      </c>
      <c r="I220" s="353">
        <f t="shared" si="14"/>
        <v>1215</v>
      </c>
      <c r="J220" s="353">
        <f t="shared" si="15"/>
        <v>36920</v>
      </c>
    </row>
    <row r="221" spans="1:10" x14ac:dyDescent="0.2">
      <c r="A221" s="207">
        <v>1216</v>
      </c>
      <c r="B221" s="207" t="s">
        <v>1118</v>
      </c>
      <c r="C221" s="207" t="s">
        <v>1123</v>
      </c>
      <c r="D221" s="207" t="s">
        <v>1119</v>
      </c>
      <c r="E221" s="281">
        <v>0</v>
      </c>
      <c r="F221" s="281"/>
      <c r="G221" s="282">
        <v>36863</v>
      </c>
      <c r="H221" s="351" t="str">
        <f t="shared" si="13"/>
        <v>Samuel Stilgoe</v>
      </c>
      <c r="I221" s="353">
        <f t="shared" si="14"/>
        <v>1216</v>
      </c>
      <c r="J221" s="353">
        <f t="shared" si="15"/>
        <v>36863</v>
      </c>
    </row>
    <row r="222" spans="1:10" x14ac:dyDescent="0.2">
      <c r="A222" s="207">
        <v>1217</v>
      </c>
      <c r="B222" s="207" t="s">
        <v>906</v>
      </c>
      <c r="C222" s="207" t="s">
        <v>907</v>
      </c>
      <c r="D222" s="207" t="s">
        <v>908</v>
      </c>
      <c r="E222" s="281">
        <v>0</v>
      </c>
      <c r="F222" s="281" t="s">
        <v>35</v>
      </c>
      <c r="G222" s="282">
        <v>36504</v>
      </c>
      <c r="H222" s="351" t="str">
        <f t="shared" si="13"/>
        <v>Celia Riddiough</v>
      </c>
      <c r="I222" s="353">
        <f t="shared" si="14"/>
        <v>1217</v>
      </c>
      <c r="J222" s="353">
        <f t="shared" si="15"/>
        <v>36504</v>
      </c>
    </row>
    <row r="223" spans="1:10" x14ac:dyDescent="0.2">
      <c r="A223" s="207">
        <v>1218</v>
      </c>
      <c r="B223" s="207" t="s">
        <v>1124</v>
      </c>
      <c r="C223" s="207" t="s">
        <v>206</v>
      </c>
      <c r="D223" s="207" t="s">
        <v>1125</v>
      </c>
      <c r="E223" s="281">
        <v>0</v>
      </c>
      <c r="F223" s="281" t="s">
        <v>35</v>
      </c>
      <c r="G223" s="282">
        <v>37509</v>
      </c>
      <c r="H223" s="351" t="str">
        <f t="shared" si="13"/>
        <v>Maddy Barnes</v>
      </c>
      <c r="I223" s="353">
        <f t="shared" si="14"/>
        <v>1218</v>
      </c>
      <c r="J223" s="353">
        <f t="shared" si="15"/>
        <v>37509</v>
      </c>
    </row>
    <row r="224" spans="1:10" x14ac:dyDescent="0.2">
      <c r="A224" s="207">
        <v>1219</v>
      </c>
      <c r="B224" s="207" t="s">
        <v>237</v>
      </c>
      <c r="C224" s="207" t="s">
        <v>1126</v>
      </c>
      <c r="D224" s="207" t="s">
        <v>742</v>
      </c>
      <c r="E224" s="281">
        <v>0</v>
      </c>
      <c r="F224" s="281"/>
      <c r="G224" s="282">
        <v>37416</v>
      </c>
      <c r="H224" s="351" t="str">
        <f t="shared" si="13"/>
        <v>Reece Lelliott</v>
      </c>
      <c r="I224" s="353">
        <f t="shared" si="14"/>
        <v>1219</v>
      </c>
      <c r="J224" s="353">
        <f t="shared" si="15"/>
        <v>37416</v>
      </c>
    </row>
    <row r="225" spans="1:10" x14ac:dyDescent="0.2">
      <c r="A225" s="207">
        <v>1220</v>
      </c>
      <c r="B225" s="207" t="s">
        <v>50</v>
      </c>
      <c r="C225" s="207" t="s">
        <v>743</v>
      </c>
      <c r="D225" s="207" t="s">
        <v>742</v>
      </c>
      <c r="E225" s="281">
        <v>0</v>
      </c>
      <c r="F225" s="281"/>
      <c r="G225" s="282">
        <v>37856</v>
      </c>
      <c r="H225" s="351" t="str">
        <f t="shared" si="13"/>
        <v>Scott Strotten</v>
      </c>
      <c r="I225" s="353">
        <f t="shared" si="14"/>
        <v>1220</v>
      </c>
      <c r="J225" s="353">
        <f t="shared" si="15"/>
        <v>37856</v>
      </c>
    </row>
    <row r="226" spans="1:10" x14ac:dyDescent="0.2">
      <c r="A226" s="207">
        <v>1221</v>
      </c>
      <c r="B226" s="207" t="s">
        <v>872</v>
      </c>
      <c r="C226" s="207" t="s">
        <v>696</v>
      </c>
      <c r="D226" s="207" t="s">
        <v>746</v>
      </c>
      <c r="E226" s="281">
        <v>0</v>
      </c>
      <c r="F226" s="281"/>
      <c r="G226" s="282">
        <v>37743</v>
      </c>
      <c r="H226" s="351" t="str">
        <f t="shared" si="13"/>
        <v>Jacob Evans</v>
      </c>
      <c r="I226" s="353">
        <f t="shared" si="14"/>
        <v>1221</v>
      </c>
      <c r="J226" s="353">
        <f t="shared" si="15"/>
        <v>37743</v>
      </c>
    </row>
    <row r="227" spans="1:10" x14ac:dyDescent="0.2">
      <c r="A227" s="207">
        <v>1222</v>
      </c>
      <c r="B227" s="207" t="s">
        <v>952</v>
      </c>
      <c r="C227" s="207" t="s">
        <v>1127</v>
      </c>
      <c r="D227" s="207" t="s">
        <v>746</v>
      </c>
      <c r="E227" s="281">
        <v>0</v>
      </c>
      <c r="F227" s="281"/>
      <c r="G227" s="282">
        <v>37785</v>
      </c>
      <c r="H227" s="351" t="str">
        <f t="shared" si="13"/>
        <v>Cameron Hipkin</v>
      </c>
      <c r="I227" s="353">
        <f t="shared" si="14"/>
        <v>1222</v>
      </c>
      <c r="J227" s="353">
        <f t="shared" si="15"/>
        <v>37785</v>
      </c>
    </row>
    <row r="228" spans="1:10" x14ac:dyDescent="0.2">
      <c r="A228" s="207">
        <v>1223</v>
      </c>
      <c r="B228" s="207" t="s">
        <v>740</v>
      </c>
      <c r="C228" s="207" t="s">
        <v>1085</v>
      </c>
      <c r="D228" s="207" t="s">
        <v>910</v>
      </c>
      <c r="E228" s="281">
        <v>0</v>
      </c>
      <c r="F228" s="281" t="s">
        <v>35</v>
      </c>
      <c r="G228" s="282">
        <v>37717</v>
      </c>
      <c r="H228" s="351" t="str">
        <f t="shared" si="13"/>
        <v>Jolie Bailey</v>
      </c>
      <c r="I228" s="353">
        <f t="shared" si="14"/>
        <v>1223</v>
      </c>
      <c r="J228" s="353">
        <f t="shared" si="15"/>
        <v>37717</v>
      </c>
    </row>
    <row r="229" spans="1:10" x14ac:dyDescent="0.2">
      <c r="A229" s="207">
        <v>1224</v>
      </c>
      <c r="B229" s="207" t="s">
        <v>85</v>
      </c>
      <c r="C229" s="207" t="s">
        <v>909</v>
      </c>
      <c r="D229" s="207" t="s">
        <v>910</v>
      </c>
      <c r="E229" s="281">
        <v>0</v>
      </c>
      <c r="F229" s="281"/>
      <c r="G229" s="282">
        <v>37771</v>
      </c>
      <c r="H229" s="351" t="str">
        <f t="shared" si="13"/>
        <v>Max Dandeker-Bourne</v>
      </c>
      <c r="I229" s="353">
        <f t="shared" si="14"/>
        <v>1224</v>
      </c>
      <c r="J229" s="353">
        <f t="shared" si="15"/>
        <v>37771</v>
      </c>
    </row>
    <row r="230" spans="1:10" x14ac:dyDescent="0.2">
      <c r="A230" s="207">
        <v>1225</v>
      </c>
      <c r="B230" s="207" t="s">
        <v>911</v>
      </c>
      <c r="C230" s="207" t="s">
        <v>912</v>
      </c>
      <c r="D230" s="207" t="s">
        <v>910</v>
      </c>
      <c r="E230" s="281">
        <v>0</v>
      </c>
      <c r="F230" s="281"/>
      <c r="G230" s="282">
        <v>37730</v>
      </c>
      <c r="H230" s="351" t="str">
        <f t="shared" si="13"/>
        <v>Dion Pragnell</v>
      </c>
      <c r="I230" s="353">
        <f t="shared" si="14"/>
        <v>1225</v>
      </c>
      <c r="J230" s="353">
        <f t="shared" si="15"/>
        <v>37730</v>
      </c>
    </row>
    <row r="231" spans="1:10" x14ac:dyDescent="0.2">
      <c r="A231" s="207">
        <v>1226</v>
      </c>
      <c r="B231" s="207" t="s">
        <v>1128</v>
      </c>
      <c r="C231" s="207" t="s">
        <v>1129</v>
      </c>
      <c r="D231" s="207" t="s">
        <v>910</v>
      </c>
      <c r="E231" s="281">
        <v>0</v>
      </c>
      <c r="F231" s="281"/>
      <c r="G231" s="282">
        <v>38207</v>
      </c>
      <c r="H231" s="351" t="str">
        <f t="shared" si="13"/>
        <v>Aston Upton</v>
      </c>
      <c r="I231" s="353">
        <f t="shared" si="14"/>
        <v>1226</v>
      </c>
      <c r="J231" s="353">
        <f t="shared" si="15"/>
        <v>38207</v>
      </c>
    </row>
    <row r="232" spans="1:10" x14ac:dyDescent="0.2">
      <c r="A232" s="207">
        <v>1227</v>
      </c>
      <c r="B232" s="207" t="s">
        <v>914</v>
      </c>
      <c r="C232" s="207" t="s">
        <v>230</v>
      </c>
      <c r="D232" s="207" t="s">
        <v>507</v>
      </c>
      <c r="E232" s="281">
        <v>11846925</v>
      </c>
      <c r="F232" s="281"/>
      <c r="G232" s="282"/>
      <c r="H232" s="351" t="str">
        <f t="shared" si="13"/>
        <v>Jeff Baird</v>
      </c>
      <c r="I232" s="353">
        <f t="shared" si="14"/>
        <v>1227</v>
      </c>
      <c r="J232" s="353">
        <f t="shared" si="15"/>
        <v>0</v>
      </c>
    </row>
    <row r="233" spans="1:10" x14ac:dyDescent="0.2">
      <c r="A233" s="207">
        <v>1228</v>
      </c>
      <c r="B233" s="207" t="s">
        <v>57</v>
      </c>
      <c r="C233" s="207" t="s">
        <v>913</v>
      </c>
      <c r="D233" s="207" t="s">
        <v>507</v>
      </c>
      <c r="E233" s="281">
        <v>133865</v>
      </c>
      <c r="F233" s="281"/>
      <c r="G233" s="282"/>
      <c r="H233" s="351" t="str">
        <f t="shared" si="13"/>
        <v>Dave Pilot</v>
      </c>
      <c r="I233" s="353">
        <f t="shared" si="14"/>
        <v>1228</v>
      </c>
      <c r="J233" s="353">
        <f t="shared" si="15"/>
        <v>0</v>
      </c>
    </row>
    <row r="234" spans="1:10" x14ac:dyDescent="0.2">
      <c r="A234" s="207">
        <v>1229</v>
      </c>
      <c r="B234" s="207" t="s">
        <v>91</v>
      </c>
      <c r="C234" s="207" t="s">
        <v>90</v>
      </c>
      <c r="D234" s="207" t="s">
        <v>507</v>
      </c>
      <c r="E234" s="281">
        <v>249053</v>
      </c>
      <c r="F234" s="281" t="s">
        <v>35</v>
      </c>
      <c r="G234" s="282"/>
      <c r="H234" s="351" t="str">
        <f t="shared" si="13"/>
        <v>Mandy Skilton</v>
      </c>
      <c r="I234" s="353">
        <f t="shared" si="14"/>
        <v>1229</v>
      </c>
      <c r="J234" s="353">
        <f t="shared" si="15"/>
        <v>0</v>
      </c>
    </row>
    <row r="235" spans="1:10" x14ac:dyDescent="0.2">
      <c r="A235" s="207">
        <v>1230</v>
      </c>
      <c r="B235" s="207" t="s">
        <v>107</v>
      </c>
      <c r="C235" s="207" t="s">
        <v>743</v>
      </c>
      <c r="D235" s="207" t="s">
        <v>507</v>
      </c>
      <c r="E235" s="281">
        <v>991671</v>
      </c>
      <c r="F235" s="281"/>
      <c r="G235" s="282"/>
      <c r="H235" s="351" t="str">
        <f t="shared" si="13"/>
        <v>Ian Strotten</v>
      </c>
      <c r="I235" s="353">
        <f t="shared" si="14"/>
        <v>1230</v>
      </c>
      <c r="J235" s="353">
        <f t="shared" si="15"/>
        <v>0</v>
      </c>
    </row>
    <row r="236" spans="1:10" x14ac:dyDescent="0.2">
      <c r="A236" s="207">
        <v>1231</v>
      </c>
      <c r="B236" s="207" t="s">
        <v>49</v>
      </c>
      <c r="C236" s="207" t="s">
        <v>230</v>
      </c>
      <c r="D236" s="207" t="s">
        <v>507</v>
      </c>
      <c r="E236" s="281">
        <v>0</v>
      </c>
      <c r="F236" s="281"/>
      <c r="G236" s="282">
        <v>36182</v>
      </c>
      <c r="H236" s="351" t="str">
        <f t="shared" si="13"/>
        <v>James Baird</v>
      </c>
      <c r="I236" s="353">
        <f t="shared" si="14"/>
        <v>1231</v>
      </c>
      <c r="J236" s="353">
        <f t="shared" si="15"/>
        <v>36182</v>
      </c>
    </row>
    <row r="237" spans="1:10" x14ac:dyDescent="0.2">
      <c r="A237" s="207">
        <v>1232</v>
      </c>
      <c r="B237" s="207" t="s">
        <v>744</v>
      </c>
      <c r="C237" s="207" t="s">
        <v>745</v>
      </c>
      <c r="D237" s="207" t="s">
        <v>507</v>
      </c>
      <c r="E237" s="281">
        <v>0</v>
      </c>
      <c r="F237" s="281"/>
      <c r="G237" s="282">
        <v>37188</v>
      </c>
      <c r="H237" s="351" t="str">
        <f t="shared" si="13"/>
        <v>Gerald Brummerhof</v>
      </c>
      <c r="I237" s="353">
        <f t="shared" si="14"/>
        <v>1232</v>
      </c>
      <c r="J237" s="353">
        <f t="shared" si="15"/>
        <v>37188</v>
      </c>
    </row>
    <row r="238" spans="1:10" x14ac:dyDescent="0.2">
      <c r="A238" s="207">
        <v>1233</v>
      </c>
      <c r="B238" s="207" t="s">
        <v>83</v>
      </c>
      <c r="C238" s="207" t="s">
        <v>500</v>
      </c>
      <c r="D238" s="207" t="s">
        <v>507</v>
      </c>
      <c r="E238" s="281">
        <v>0</v>
      </c>
      <c r="F238" s="281"/>
      <c r="G238" s="282">
        <v>36373</v>
      </c>
      <c r="H238" s="351" t="str">
        <f t="shared" si="13"/>
        <v>Calum Butler</v>
      </c>
      <c r="I238" s="353">
        <f t="shared" si="14"/>
        <v>1233</v>
      </c>
      <c r="J238" s="353">
        <f t="shared" si="15"/>
        <v>36373</v>
      </c>
    </row>
    <row r="239" spans="1:10" x14ac:dyDescent="0.2">
      <c r="A239" s="207">
        <v>1234</v>
      </c>
      <c r="B239" s="207" t="s">
        <v>129</v>
      </c>
      <c r="C239" s="207" t="s">
        <v>1130</v>
      </c>
      <c r="D239" s="207" t="s">
        <v>507</v>
      </c>
      <c r="E239" s="281">
        <v>0</v>
      </c>
      <c r="F239" s="281"/>
      <c r="G239" s="282">
        <v>37331</v>
      </c>
      <c r="H239" s="351" t="str">
        <f t="shared" si="13"/>
        <v>Tom Hardwick</v>
      </c>
      <c r="I239" s="353">
        <f t="shared" si="14"/>
        <v>1234</v>
      </c>
      <c r="J239" s="353">
        <f t="shared" si="15"/>
        <v>37331</v>
      </c>
    </row>
    <row r="240" spans="1:10" x14ac:dyDescent="0.2">
      <c r="A240" s="207">
        <v>1235</v>
      </c>
      <c r="B240" s="207" t="s">
        <v>714</v>
      </c>
      <c r="C240" s="207" t="s">
        <v>134</v>
      </c>
      <c r="D240" s="207" t="s">
        <v>507</v>
      </c>
      <c r="E240" s="281">
        <v>0</v>
      </c>
      <c r="F240" s="281" t="s">
        <v>35</v>
      </c>
      <c r="G240" s="282">
        <v>36870</v>
      </c>
      <c r="H240" s="351" t="str">
        <f t="shared" si="13"/>
        <v>Emily Howard</v>
      </c>
      <c r="I240" s="353">
        <f t="shared" si="14"/>
        <v>1235</v>
      </c>
      <c r="J240" s="353">
        <f t="shared" si="15"/>
        <v>36870</v>
      </c>
    </row>
    <row r="241" spans="1:10" x14ac:dyDescent="0.2">
      <c r="A241" s="207">
        <v>1236</v>
      </c>
      <c r="B241" s="207" t="s">
        <v>69</v>
      </c>
      <c r="C241" s="207" t="s">
        <v>1131</v>
      </c>
      <c r="D241" s="207" t="s">
        <v>507</v>
      </c>
      <c r="E241" s="281">
        <v>0</v>
      </c>
      <c r="F241" s="281"/>
      <c r="G241" s="282">
        <v>37197</v>
      </c>
      <c r="H241" s="351" t="str">
        <f t="shared" si="13"/>
        <v>David Luff</v>
      </c>
      <c r="I241" s="353">
        <f t="shared" si="14"/>
        <v>1236</v>
      </c>
      <c r="J241" s="353">
        <f t="shared" si="15"/>
        <v>37197</v>
      </c>
    </row>
    <row r="242" spans="1:10" x14ac:dyDescent="0.2">
      <c r="A242" s="207">
        <v>1237</v>
      </c>
      <c r="B242" s="207" t="s">
        <v>89</v>
      </c>
      <c r="C242" s="207" t="s">
        <v>506</v>
      </c>
      <c r="D242" s="207" t="s">
        <v>507</v>
      </c>
      <c r="E242" s="281">
        <v>0</v>
      </c>
      <c r="F242" s="281"/>
      <c r="G242" s="282">
        <v>36123</v>
      </c>
      <c r="H242" s="351" t="str">
        <f t="shared" si="13"/>
        <v>Joe Newington</v>
      </c>
      <c r="I242" s="353">
        <f t="shared" si="14"/>
        <v>1237</v>
      </c>
      <c r="J242" s="353">
        <f t="shared" si="15"/>
        <v>36123</v>
      </c>
    </row>
    <row r="243" spans="1:10" x14ac:dyDescent="0.2">
      <c r="A243" s="207">
        <v>1238</v>
      </c>
      <c r="B243" s="207" t="s">
        <v>130</v>
      </c>
      <c r="C243" s="207" t="s">
        <v>913</v>
      </c>
      <c r="D243" s="207" t="s">
        <v>507</v>
      </c>
      <c r="E243" s="281">
        <v>0</v>
      </c>
      <c r="F243" s="281"/>
      <c r="G243" s="282">
        <v>36357</v>
      </c>
      <c r="H243" s="351" t="str">
        <f t="shared" si="13"/>
        <v>Darren Pilot</v>
      </c>
      <c r="I243" s="353">
        <f t="shared" si="14"/>
        <v>1238</v>
      </c>
      <c r="J243" s="353">
        <f t="shared" si="15"/>
        <v>36357</v>
      </c>
    </row>
    <row r="244" spans="1:10" x14ac:dyDescent="0.2">
      <c r="A244" s="207">
        <v>1239</v>
      </c>
      <c r="B244" s="207" t="s">
        <v>1132</v>
      </c>
      <c r="C244" s="207" t="s">
        <v>1105</v>
      </c>
      <c r="D244" s="207" t="s">
        <v>507</v>
      </c>
      <c r="E244" s="281">
        <v>0</v>
      </c>
      <c r="F244" s="281"/>
      <c r="G244" s="282">
        <v>37139</v>
      </c>
      <c r="H244" s="351" t="str">
        <f t="shared" si="13"/>
        <v>Laurence Reynolds</v>
      </c>
      <c r="I244" s="353">
        <f t="shared" si="14"/>
        <v>1239</v>
      </c>
      <c r="J244" s="353">
        <f t="shared" si="15"/>
        <v>37139</v>
      </c>
    </row>
    <row r="245" spans="1:10" x14ac:dyDescent="0.2">
      <c r="A245" s="207">
        <v>1240</v>
      </c>
      <c r="B245" s="207" t="s">
        <v>1133</v>
      </c>
      <c r="C245" s="207" t="s">
        <v>1134</v>
      </c>
      <c r="D245" s="207" t="s">
        <v>563</v>
      </c>
      <c r="E245" s="281">
        <v>0</v>
      </c>
      <c r="F245" s="281"/>
      <c r="G245" s="282">
        <v>38150</v>
      </c>
      <c r="H245" s="351" t="str">
        <f t="shared" si="13"/>
        <v>Seth Chumley</v>
      </c>
      <c r="I245" s="353">
        <f t="shared" si="14"/>
        <v>1240</v>
      </c>
      <c r="J245" s="353">
        <f t="shared" si="15"/>
        <v>38150</v>
      </c>
    </row>
    <row r="246" spans="1:10" x14ac:dyDescent="0.2">
      <c r="A246" s="207">
        <v>1241</v>
      </c>
      <c r="B246" s="207" t="s">
        <v>1135</v>
      </c>
      <c r="C246" s="207" t="s">
        <v>1136</v>
      </c>
      <c r="D246" s="207" t="s">
        <v>1137</v>
      </c>
      <c r="E246" s="281">
        <v>0</v>
      </c>
      <c r="F246" s="281"/>
      <c r="G246" s="282">
        <v>38427</v>
      </c>
      <c r="H246" s="351" t="str">
        <f t="shared" si="13"/>
        <v>Carey Longridge</v>
      </c>
      <c r="I246" s="353">
        <f t="shared" si="14"/>
        <v>1241</v>
      </c>
      <c r="J246" s="353">
        <f t="shared" si="15"/>
        <v>38427</v>
      </c>
    </row>
    <row r="247" spans="1:10" x14ac:dyDescent="0.2">
      <c r="A247" s="207">
        <v>1242</v>
      </c>
      <c r="B247" s="207" t="s">
        <v>736</v>
      </c>
      <c r="C247" s="207" t="s">
        <v>218</v>
      </c>
      <c r="D247" s="207" t="s">
        <v>1138</v>
      </c>
      <c r="E247" s="281">
        <v>0</v>
      </c>
      <c r="F247" s="281"/>
      <c r="G247" s="282">
        <v>37357</v>
      </c>
      <c r="H247" s="351" t="str">
        <f t="shared" si="13"/>
        <v>Haydn Bennett</v>
      </c>
      <c r="I247" s="353">
        <f t="shared" si="14"/>
        <v>1242</v>
      </c>
      <c r="J247" s="353">
        <f t="shared" si="15"/>
        <v>37357</v>
      </c>
    </row>
    <row r="248" spans="1:10" x14ac:dyDescent="0.2">
      <c r="A248" s="207">
        <v>1243</v>
      </c>
      <c r="B248" s="207" t="s">
        <v>133</v>
      </c>
      <c r="C248" s="207" t="s">
        <v>893</v>
      </c>
      <c r="D248" s="207" t="s">
        <v>563</v>
      </c>
      <c r="E248" s="281">
        <v>0</v>
      </c>
      <c r="F248" s="281"/>
      <c r="G248" s="282">
        <v>36725</v>
      </c>
      <c r="H248" s="351" t="str">
        <f t="shared" si="13"/>
        <v>Adam Bravery</v>
      </c>
      <c r="I248" s="353">
        <f t="shared" si="14"/>
        <v>1243</v>
      </c>
      <c r="J248" s="353">
        <f t="shared" si="15"/>
        <v>36725</v>
      </c>
    </row>
    <row r="249" spans="1:10" x14ac:dyDescent="0.2">
      <c r="A249" s="207">
        <v>1244</v>
      </c>
      <c r="B249" s="207" t="s">
        <v>67</v>
      </c>
      <c r="C249" s="207" t="s">
        <v>893</v>
      </c>
      <c r="D249" s="207" t="s">
        <v>563</v>
      </c>
      <c r="E249" s="281">
        <v>0</v>
      </c>
      <c r="F249" s="281"/>
      <c r="G249" s="282">
        <v>37915</v>
      </c>
      <c r="H249" s="351" t="str">
        <f t="shared" si="13"/>
        <v>Edward Bravery</v>
      </c>
      <c r="I249" s="353">
        <f t="shared" si="14"/>
        <v>1244</v>
      </c>
      <c r="J249" s="353">
        <f t="shared" si="15"/>
        <v>37915</v>
      </c>
    </row>
    <row r="250" spans="1:10" x14ac:dyDescent="0.2">
      <c r="A250" s="207">
        <v>1245</v>
      </c>
      <c r="B250" s="207" t="s">
        <v>92</v>
      </c>
      <c r="C250" s="207" t="s">
        <v>734</v>
      </c>
      <c r="D250" s="207" t="s">
        <v>563</v>
      </c>
      <c r="E250" s="281">
        <v>937400</v>
      </c>
      <c r="F250" s="281"/>
      <c r="G250" s="282">
        <v>32508</v>
      </c>
      <c r="H250" s="351" t="str">
        <f t="shared" si="13"/>
        <v>Paul Carruthers</v>
      </c>
      <c r="I250" s="353">
        <f t="shared" si="14"/>
        <v>1245</v>
      </c>
      <c r="J250" s="353">
        <f t="shared" si="15"/>
        <v>32508</v>
      </c>
    </row>
    <row r="251" spans="1:10" x14ac:dyDescent="0.2">
      <c r="A251" s="207">
        <v>1246</v>
      </c>
      <c r="B251" s="207" t="s">
        <v>894</v>
      </c>
      <c r="C251" s="207" t="s">
        <v>48</v>
      </c>
      <c r="D251" s="207" t="s">
        <v>563</v>
      </c>
      <c r="E251" s="281">
        <v>0</v>
      </c>
      <c r="F251" s="281"/>
      <c r="G251" s="282">
        <v>37985</v>
      </c>
      <c r="H251" s="351" t="str">
        <f t="shared" si="13"/>
        <v>Frankie George</v>
      </c>
      <c r="I251" s="353">
        <f t="shared" si="14"/>
        <v>1246</v>
      </c>
      <c r="J251" s="353">
        <f t="shared" si="15"/>
        <v>37985</v>
      </c>
    </row>
    <row r="252" spans="1:10" x14ac:dyDescent="0.2">
      <c r="A252" s="207">
        <v>1247</v>
      </c>
      <c r="B252" s="207" t="s">
        <v>619</v>
      </c>
      <c r="C252" s="207" t="s">
        <v>48</v>
      </c>
      <c r="D252" s="207" t="s">
        <v>563</v>
      </c>
      <c r="E252" s="281">
        <v>0</v>
      </c>
      <c r="F252" s="281"/>
      <c r="G252" s="282">
        <v>37908</v>
      </c>
      <c r="H252" s="351" t="str">
        <f t="shared" si="13"/>
        <v>Mathew George</v>
      </c>
      <c r="I252" s="353">
        <f t="shared" si="14"/>
        <v>1247</v>
      </c>
      <c r="J252" s="353">
        <f t="shared" si="15"/>
        <v>37908</v>
      </c>
    </row>
    <row r="253" spans="1:10" x14ac:dyDescent="0.2">
      <c r="A253" s="207">
        <v>1248</v>
      </c>
      <c r="B253" s="207" t="s">
        <v>158</v>
      </c>
      <c r="C253" s="207" t="s">
        <v>1139</v>
      </c>
      <c r="D253" s="207" t="s">
        <v>563</v>
      </c>
      <c r="E253" s="281">
        <v>0</v>
      </c>
      <c r="F253" s="281"/>
      <c r="G253" s="282">
        <v>37305</v>
      </c>
      <c r="H253" s="351" t="str">
        <f t="shared" si="13"/>
        <v>Christopher Hozaifen</v>
      </c>
      <c r="I253" s="353">
        <f t="shared" si="14"/>
        <v>1248</v>
      </c>
      <c r="J253" s="353">
        <f t="shared" si="15"/>
        <v>37305</v>
      </c>
    </row>
    <row r="254" spans="1:10" x14ac:dyDescent="0.2">
      <c r="A254" s="207">
        <v>1249</v>
      </c>
      <c r="B254" s="207" t="s">
        <v>1140</v>
      </c>
      <c r="C254" s="207" t="s">
        <v>190</v>
      </c>
      <c r="D254" s="207" t="s">
        <v>563</v>
      </c>
      <c r="E254" s="281">
        <v>0</v>
      </c>
      <c r="F254" s="281"/>
      <c r="G254" s="282">
        <v>36953</v>
      </c>
      <c r="H254" s="351" t="str">
        <f t="shared" si="13"/>
        <v>Dieniol Lewis</v>
      </c>
      <c r="I254" s="353">
        <f t="shared" si="14"/>
        <v>1249</v>
      </c>
      <c r="J254" s="353">
        <f t="shared" si="15"/>
        <v>36953</v>
      </c>
    </row>
    <row r="255" spans="1:10" x14ac:dyDescent="0.2">
      <c r="A255" s="207">
        <v>1250</v>
      </c>
      <c r="B255" s="207" t="s">
        <v>644</v>
      </c>
      <c r="C255" s="207" t="s">
        <v>190</v>
      </c>
      <c r="D255" s="207" t="s">
        <v>563</v>
      </c>
      <c r="E255" s="281">
        <v>0</v>
      </c>
      <c r="F255" s="281" t="s">
        <v>35</v>
      </c>
      <c r="G255" s="282">
        <v>37693</v>
      </c>
      <c r="H255" s="351" t="str">
        <f t="shared" si="13"/>
        <v>Jasmine Lewis</v>
      </c>
      <c r="I255" s="353">
        <f t="shared" si="14"/>
        <v>1250</v>
      </c>
      <c r="J255" s="353">
        <f t="shared" si="15"/>
        <v>37693</v>
      </c>
    </row>
    <row r="256" spans="1:10" x14ac:dyDescent="0.2">
      <c r="A256" s="207">
        <v>1251</v>
      </c>
      <c r="B256" s="207" t="s">
        <v>97</v>
      </c>
      <c r="C256" s="207" t="s">
        <v>565</v>
      </c>
      <c r="D256" s="207" t="s">
        <v>563</v>
      </c>
      <c r="E256" s="281">
        <v>0</v>
      </c>
      <c r="F256" s="281"/>
      <c r="G256" s="282">
        <v>36522</v>
      </c>
      <c r="H256" s="351" t="str">
        <f t="shared" si="13"/>
        <v>Tyler Murray</v>
      </c>
      <c r="I256" s="353">
        <f t="shared" si="14"/>
        <v>1251</v>
      </c>
      <c r="J256" s="353">
        <f t="shared" si="15"/>
        <v>36522</v>
      </c>
    </row>
    <row r="257" spans="1:10" x14ac:dyDescent="0.2">
      <c r="A257" s="207">
        <v>1252</v>
      </c>
      <c r="B257" s="207" t="s">
        <v>564</v>
      </c>
      <c r="C257" s="207" t="s">
        <v>562</v>
      </c>
      <c r="D257" s="207" t="s">
        <v>563</v>
      </c>
      <c r="E257" s="281">
        <v>0</v>
      </c>
      <c r="F257" s="281" t="s">
        <v>35</v>
      </c>
      <c r="G257" s="282">
        <v>36448</v>
      </c>
      <c r="H257" s="351" t="str">
        <f t="shared" si="13"/>
        <v>Harley Raine</v>
      </c>
      <c r="I257" s="353">
        <f t="shared" si="14"/>
        <v>1252</v>
      </c>
      <c r="J257" s="353">
        <f t="shared" si="15"/>
        <v>36448</v>
      </c>
    </row>
    <row r="258" spans="1:10" x14ac:dyDescent="0.2">
      <c r="A258" s="207">
        <v>1253</v>
      </c>
      <c r="B258" s="207" t="s">
        <v>892</v>
      </c>
      <c r="C258" s="207" t="s">
        <v>562</v>
      </c>
      <c r="D258" s="207" t="s">
        <v>563</v>
      </c>
      <c r="E258" s="281">
        <v>35128</v>
      </c>
      <c r="F258" s="281"/>
      <c r="G258" s="282">
        <v>18682</v>
      </c>
      <c r="H258" s="351" t="str">
        <f t="shared" si="13"/>
        <v>J Peter Raine</v>
      </c>
      <c r="I258" s="353">
        <f t="shared" si="14"/>
        <v>1253</v>
      </c>
      <c r="J258" s="353">
        <f t="shared" si="15"/>
        <v>18682</v>
      </c>
    </row>
    <row r="259" spans="1:10" x14ac:dyDescent="0.2">
      <c r="A259" s="207">
        <v>1254</v>
      </c>
      <c r="B259" s="207" t="s">
        <v>1141</v>
      </c>
      <c r="C259" s="207" t="s">
        <v>482</v>
      </c>
      <c r="D259" s="207" t="s">
        <v>563</v>
      </c>
      <c r="E259" s="281">
        <v>0</v>
      </c>
      <c r="F259" s="281" t="s">
        <v>35</v>
      </c>
      <c r="G259" s="282">
        <v>38772</v>
      </c>
      <c r="H259" s="351" t="str">
        <f t="shared" si="13"/>
        <v>Eve Roberts</v>
      </c>
      <c r="I259" s="353">
        <f t="shared" si="14"/>
        <v>1254</v>
      </c>
      <c r="J259" s="353">
        <f t="shared" si="15"/>
        <v>38772</v>
      </c>
    </row>
    <row r="260" spans="1:10" x14ac:dyDescent="0.2">
      <c r="A260" s="207">
        <v>1255</v>
      </c>
      <c r="B260" s="207" t="s">
        <v>54</v>
      </c>
      <c r="C260" s="207" t="s">
        <v>224</v>
      </c>
      <c r="D260" s="207" t="s">
        <v>1138</v>
      </c>
      <c r="E260" s="281">
        <v>10441906</v>
      </c>
      <c r="F260" s="281"/>
      <c r="G260" s="282">
        <v>35574</v>
      </c>
      <c r="H260" s="351" t="str">
        <f t="shared" si="13"/>
        <v>Joseph Fox</v>
      </c>
      <c r="I260" s="353">
        <f t="shared" si="14"/>
        <v>1255</v>
      </c>
      <c r="J260" s="353">
        <f t="shared" si="15"/>
        <v>35574</v>
      </c>
    </row>
    <row r="261" spans="1:10" x14ac:dyDescent="0.2">
      <c r="A261" s="207">
        <v>1256</v>
      </c>
      <c r="B261" s="207" t="s">
        <v>735</v>
      </c>
      <c r="C261" s="207" t="s">
        <v>803</v>
      </c>
      <c r="D261" s="207" t="s">
        <v>1138</v>
      </c>
      <c r="E261" s="281">
        <v>0</v>
      </c>
      <c r="F261" s="281"/>
      <c r="G261" s="282">
        <v>36936</v>
      </c>
      <c r="H261" s="351" t="str">
        <f t="shared" si="13"/>
        <v>Zac Larkham</v>
      </c>
      <c r="I261" s="353">
        <f t="shared" si="14"/>
        <v>1256</v>
      </c>
      <c r="J261" s="353">
        <f t="shared" si="15"/>
        <v>36936</v>
      </c>
    </row>
    <row r="262" spans="1:10" x14ac:dyDescent="0.2">
      <c r="A262" s="207">
        <v>1257</v>
      </c>
      <c r="B262" s="207" t="s">
        <v>643</v>
      </c>
      <c r="C262" s="207" t="s">
        <v>501</v>
      </c>
      <c r="D262" s="207" t="s">
        <v>1138</v>
      </c>
      <c r="E262" s="281">
        <v>10441909</v>
      </c>
      <c r="F262" s="281"/>
      <c r="G262" s="282">
        <v>35724</v>
      </c>
      <c r="H262" s="351" t="str">
        <f t="shared" si="13"/>
        <v>Connagh Launchbury</v>
      </c>
      <c r="I262" s="353">
        <f t="shared" si="14"/>
        <v>1257</v>
      </c>
      <c r="J262" s="353">
        <f t="shared" si="15"/>
        <v>35724</v>
      </c>
    </row>
    <row r="263" spans="1:10" x14ac:dyDescent="0.2">
      <c r="A263" s="207">
        <v>1258</v>
      </c>
      <c r="B263" s="207" t="s">
        <v>104</v>
      </c>
      <c r="C263" s="207" t="s">
        <v>574</v>
      </c>
      <c r="D263" s="207" t="s">
        <v>1138</v>
      </c>
      <c r="E263" s="281">
        <v>0</v>
      </c>
      <c r="F263" s="281"/>
      <c r="G263" s="282">
        <v>37446</v>
      </c>
      <c r="H263" s="351" t="str">
        <f t="shared" si="13"/>
        <v>Ben Piggott</v>
      </c>
      <c r="I263" s="353">
        <f t="shared" si="14"/>
        <v>1258</v>
      </c>
      <c r="J263" s="353">
        <f t="shared" si="15"/>
        <v>37446</v>
      </c>
    </row>
    <row r="264" spans="1:10" x14ac:dyDescent="0.2">
      <c r="A264" s="207">
        <v>1259</v>
      </c>
      <c r="B264" s="207" t="s">
        <v>92</v>
      </c>
      <c r="C264" s="207" t="s">
        <v>482</v>
      </c>
      <c r="D264" s="207" t="s">
        <v>563</v>
      </c>
      <c r="E264" s="281">
        <v>11092830</v>
      </c>
      <c r="F264" s="281"/>
      <c r="G264" s="282">
        <v>28816</v>
      </c>
      <c r="H264" s="351" t="str">
        <f t="shared" si="13"/>
        <v>Paul Roberts</v>
      </c>
      <c r="I264" s="353">
        <f t="shared" si="14"/>
        <v>1259</v>
      </c>
      <c r="J264" s="353">
        <f t="shared" si="15"/>
        <v>28816</v>
      </c>
    </row>
    <row r="265" spans="1:10" x14ac:dyDescent="0.2">
      <c r="A265" s="207">
        <v>1260</v>
      </c>
      <c r="B265" s="207" t="s">
        <v>763</v>
      </c>
      <c r="C265" s="207" t="s">
        <v>188</v>
      </c>
      <c r="D265" s="207" t="s">
        <v>764</v>
      </c>
      <c r="E265" s="281">
        <v>0</v>
      </c>
      <c r="F265" s="281"/>
      <c r="G265" s="282">
        <v>36152</v>
      </c>
      <c r="H265" s="351" t="str">
        <f t="shared" ref="H265:H328" si="16">CONCATENATE(B265," ",C265)</f>
        <v>Jeremy Harrison</v>
      </c>
      <c r="I265" s="353">
        <f t="shared" ref="I265:I328" si="17">A265</f>
        <v>1260</v>
      </c>
      <c r="J265" s="353">
        <f t="shared" ref="J265:J328" si="18">G265</f>
        <v>36152</v>
      </c>
    </row>
    <row r="266" spans="1:10" x14ac:dyDescent="0.2">
      <c r="A266" s="207">
        <v>1261</v>
      </c>
      <c r="B266" s="207" t="s">
        <v>201</v>
      </c>
      <c r="C266" s="207" t="s">
        <v>573</v>
      </c>
      <c r="D266" s="207" t="s">
        <v>1138</v>
      </c>
      <c r="E266" s="281">
        <v>0</v>
      </c>
      <c r="F266" s="281"/>
      <c r="G266" s="282">
        <v>36956</v>
      </c>
      <c r="H266" s="351" t="str">
        <f t="shared" si="16"/>
        <v>Liam Spriggs</v>
      </c>
      <c r="I266" s="353">
        <f t="shared" si="17"/>
        <v>1261</v>
      </c>
      <c r="J266" s="353">
        <f t="shared" si="18"/>
        <v>36956</v>
      </c>
    </row>
    <row r="267" spans="1:10" x14ac:dyDescent="0.2">
      <c r="A267" s="207">
        <v>1262</v>
      </c>
      <c r="B267" s="207" t="s">
        <v>117</v>
      </c>
      <c r="C267" s="207" t="s">
        <v>758</v>
      </c>
      <c r="D267" s="207" t="s">
        <v>1142</v>
      </c>
      <c r="E267" s="281">
        <v>817214</v>
      </c>
      <c r="F267" s="281"/>
      <c r="G267" s="282">
        <v>23316</v>
      </c>
      <c r="H267" s="351" t="str">
        <f t="shared" si="16"/>
        <v>Chris Draper</v>
      </c>
      <c r="I267" s="353">
        <f t="shared" si="17"/>
        <v>1262</v>
      </c>
      <c r="J267" s="353">
        <f t="shared" si="18"/>
        <v>23316</v>
      </c>
    </row>
    <row r="268" spans="1:10" x14ac:dyDescent="0.2">
      <c r="A268" s="207">
        <v>1263</v>
      </c>
      <c r="B268" s="207" t="s">
        <v>757</v>
      </c>
      <c r="C268" s="207" t="s">
        <v>758</v>
      </c>
      <c r="D268" s="207" t="s">
        <v>1142</v>
      </c>
      <c r="E268" s="281">
        <v>865767</v>
      </c>
      <c r="F268" s="281"/>
      <c r="G268" s="282">
        <v>19732</v>
      </c>
      <c r="H268" s="351" t="str">
        <f t="shared" si="16"/>
        <v>Trevor Draper</v>
      </c>
      <c r="I268" s="353">
        <f t="shared" si="17"/>
        <v>1263</v>
      </c>
      <c r="J268" s="353">
        <f t="shared" si="18"/>
        <v>19732</v>
      </c>
    </row>
    <row r="269" spans="1:10" x14ac:dyDescent="0.2">
      <c r="A269" s="207">
        <v>1264</v>
      </c>
      <c r="B269" s="207" t="s">
        <v>190</v>
      </c>
      <c r="C269" s="207" t="s">
        <v>624</v>
      </c>
      <c r="D269" s="207" t="s">
        <v>1142</v>
      </c>
      <c r="E269" s="281">
        <v>0</v>
      </c>
      <c r="F269" s="281"/>
      <c r="G269" s="282">
        <v>38411</v>
      </c>
      <c r="H269" s="351" t="str">
        <f t="shared" si="16"/>
        <v>Lewis Drake</v>
      </c>
      <c r="I269" s="353">
        <f t="shared" si="17"/>
        <v>1264</v>
      </c>
      <c r="J269" s="353">
        <f t="shared" si="18"/>
        <v>38411</v>
      </c>
    </row>
    <row r="270" spans="1:10" x14ac:dyDescent="0.2">
      <c r="A270" s="207">
        <v>1265</v>
      </c>
      <c r="B270" s="207" t="s">
        <v>49</v>
      </c>
      <c r="C270" s="207" t="s">
        <v>758</v>
      </c>
      <c r="D270" s="207" t="s">
        <v>1142</v>
      </c>
      <c r="E270" s="281">
        <v>0</v>
      </c>
      <c r="F270" s="281"/>
      <c r="G270" s="282">
        <v>37287</v>
      </c>
      <c r="H270" s="351" t="str">
        <f t="shared" si="16"/>
        <v>James Draper</v>
      </c>
      <c r="I270" s="353">
        <f t="shared" si="17"/>
        <v>1265</v>
      </c>
      <c r="J270" s="353">
        <f t="shared" si="18"/>
        <v>37287</v>
      </c>
    </row>
    <row r="271" spans="1:10" x14ac:dyDescent="0.2">
      <c r="A271" s="207">
        <v>1266</v>
      </c>
      <c r="B271" s="207" t="s">
        <v>118</v>
      </c>
      <c r="C271" s="207" t="s">
        <v>758</v>
      </c>
      <c r="D271" s="207" t="s">
        <v>1142</v>
      </c>
      <c r="E271" s="281">
        <v>11840083</v>
      </c>
      <c r="F271" s="281"/>
      <c r="G271" s="282">
        <v>35224</v>
      </c>
      <c r="H271" s="351" t="str">
        <f t="shared" si="16"/>
        <v>Mitchell Draper</v>
      </c>
      <c r="I271" s="353">
        <f t="shared" si="17"/>
        <v>1266</v>
      </c>
      <c r="J271" s="353">
        <f t="shared" si="18"/>
        <v>35224</v>
      </c>
    </row>
    <row r="272" spans="1:10" x14ac:dyDescent="0.2">
      <c r="A272" s="207">
        <v>1267</v>
      </c>
      <c r="B272" s="207" t="s">
        <v>569</v>
      </c>
      <c r="C272" s="207" t="s">
        <v>759</v>
      </c>
      <c r="D272" s="207" t="s">
        <v>1142</v>
      </c>
      <c r="E272" s="281">
        <v>0</v>
      </c>
      <c r="F272" s="281"/>
      <c r="G272" s="282">
        <v>37630</v>
      </c>
      <c r="H272" s="351" t="str">
        <f t="shared" si="16"/>
        <v>Dylan Eastman</v>
      </c>
      <c r="I272" s="353">
        <f t="shared" si="17"/>
        <v>1267</v>
      </c>
      <c r="J272" s="353">
        <f t="shared" si="18"/>
        <v>37630</v>
      </c>
    </row>
    <row r="273" spans="1:10" x14ac:dyDescent="0.2">
      <c r="A273" s="207">
        <v>1268</v>
      </c>
      <c r="B273" s="207" t="s">
        <v>123</v>
      </c>
      <c r="C273" s="207" t="s">
        <v>759</v>
      </c>
      <c r="D273" s="207" t="s">
        <v>1142</v>
      </c>
      <c r="E273" s="281">
        <v>0</v>
      </c>
      <c r="F273" s="281"/>
      <c r="G273" s="282">
        <v>36709</v>
      </c>
      <c r="H273" s="351" t="str">
        <f t="shared" si="16"/>
        <v>Owen Eastman</v>
      </c>
      <c r="I273" s="353">
        <f t="shared" si="17"/>
        <v>1268</v>
      </c>
      <c r="J273" s="353">
        <f t="shared" si="18"/>
        <v>36709</v>
      </c>
    </row>
    <row r="274" spans="1:10" x14ac:dyDescent="0.2">
      <c r="A274" s="207">
        <v>1269</v>
      </c>
      <c r="B274" s="207" t="s">
        <v>62</v>
      </c>
      <c r="C274" s="207" t="s">
        <v>1143</v>
      </c>
      <c r="D274" s="207" t="s">
        <v>1142</v>
      </c>
      <c r="E274" s="281">
        <v>0</v>
      </c>
      <c r="F274" s="281"/>
      <c r="G274" s="282">
        <v>37367</v>
      </c>
      <c r="H274" s="351" t="str">
        <f t="shared" si="16"/>
        <v>Callum Hurst</v>
      </c>
      <c r="I274" s="353">
        <f t="shared" si="17"/>
        <v>1269</v>
      </c>
      <c r="J274" s="353">
        <f t="shared" si="18"/>
        <v>37367</v>
      </c>
    </row>
    <row r="275" spans="1:10" x14ac:dyDescent="0.2">
      <c r="A275" s="207">
        <v>1270</v>
      </c>
      <c r="B275" s="207" t="s">
        <v>1133</v>
      </c>
      <c r="C275" s="207" t="s">
        <v>1144</v>
      </c>
      <c r="D275" s="207" t="s">
        <v>953</v>
      </c>
      <c r="E275" s="281">
        <v>0</v>
      </c>
      <c r="F275" s="281"/>
      <c r="G275" s="282">
        <v>36978</v>
      </c>
      <c r="H275" s="351" t="str">
        <f t="shared" si="16"/>
        <v>Seth Furniss</v>
      </c>
      <c r="I275" s="353">
        <f t="shared" si="17"/>
        <v>1270</v>
      </c>
      <c r="J275" s="353">
        <f t="shared" si="18"/>
        <v>36978</v>
      </c>
    </row>
    <row r="276" spans="1:10" x14ac:dyDescent="0.2">
      <c r="A276" s="207">
        <v>1271</v>
      </c>
      <c r="B276" s="207" t="s">
        <v>1145</v>
      </c>
      <c r="C276" s="207" t="s">
        <v>1146</v>
      </c>
      <c r="D276" s="207" t="s">
        <v>953</v>
      </c>
      <c r="E276" s="281">
        <v>0</v>
      </c>
      <c r="F276" s="281"/>
      <c r="G276" s="282">
        <v>37029</v>
      </c>
      <c r="H276" s="351" t="str">
        <f t="shared" si="16"/>
        <v>Kush Nadkarni</v>
      </c>
      <c r="I276" s="353">
        <f t="shared" si="17"/>
        <v>1271</v>
      </c>
      <c r="J276" s="353">
        <f t="shared" si="18"/>
        <v>37029</v>
      </c>
    </row>
    <row r="277" spans="1:10" x14ac:dyDescent="0.2">
      <c r="A277" s="207">
        <v>1272</v>
      </c>
      <c r="B277" s="207" t="s">
        <v>1147</v>
      </c>
      <c r="C277" s="207" t="s">
        <v>1148</v>
      </c>
      <c r="D277" s="207" t="s">
        <v>953</v>
      </c>
      <c r="E277" s="281">
        <v>0</v>
      </c>
      <c r="F277" s="281"/>
      <c r="G277" s="282">
        <v>37378</v>
      </c>
      <c r="H277" s="351" t="str">
        <f t="shared" si="16"/>
        <v>Mikey Rowe-Smythe</v>
      </c>
      <c r="I277" s="353">
        <f t="shared" si="17"/>
        <v>1272</v>
      </c>
      <c r="J277" s="353">
        <f t="shared" si="18"/>
        <v>37378</v>
      </c>
    </row>
    <row r="278" spans="1:10" x14ac:dyDescent="0.2">
      <c r="A278" s="207">
        <v>1273</v>
      </c>
      <c r="B278" s="207" t="s">
        <v>80</v>
      </c>
      <c r="C278" s="207" t="s">
        <v>711</v>
      </c>
      <c r="D278" s="207" t="s">
        <v>499</v>
      </c>
      <c r="E278" s="281">
        <v>0</v>
      </c>
      <c r="F278" s="281"/>
      <c r="G278" s="282">
        <v>37460</v>
      </c>
      <c r="H278" s="351" t="str">
        <f t="shared" si="16"/>
        <v>Joshua Burton</v>
      </c>
      <c r="I278" s="353">
        <f t="shared" si="17"/>
        <v>1273</v>
      </c>
      <c r="J278" s="353">
        <f t="shared" si="18"/>
        <v>37460</v>
      </c>
    </row>
    <row r="279" spans="1:10" x14ac:dyDescent="0.2">
      <c r="A279" s="207">
        <v>1274</v>
      </c>
      <c r="B279" s="207" t="s">
        <v>49</v>
      </c>
      <c r="C279" s="207" t="s">
        <v>1149</v>
      </c>
      <c r="D279" s="207" t="s">
        <v>499</v>
      </c>
      <c r="E279" s="281">
        <v>0</v>
      </c>
      <c r="F279" s="281"/>
      <c r="G279" s="282">
        <v>37915</v>
      </c>
      <c r="H279" s="351" t="str">
        <f t="shared" si="16"/>
        <v>James Denton</v>
      </c>
      <c r="I279" s="353">
        <f t="shared" si="17"/>
        <v>1274</v>
      </c>
      <c r="J279" s="353">
        <f t="shared" si="18"/>
        <v>37915</v>
      </c>
    </row>
    <row r="280" spans="1:10" x14ac:dyDescent="0.2">
      <c r="A280" s="207">
        <v>1275</v>
      </c>
      <c r="B280" s="207" t="s">
        <v>129</v>
      </c>
      <c r="C280" s="207" t="s">
        <v>482</v>
      </c>
      <c r="D280" s="207" t="s">
        <v>499</v>
      </c>
      <c r="E280" s="281">
        <v>0</v>
      </c>
      <c r="F280" s="281"/>
      <c r="G280" s="282">
        <v>37427</v>
      </c>
      <c r="H280" s="351" t="str">
        <f t="shared" si="16"/>
        <v>Tom Roberts</v>
      </c>
      <c r="I280" s="353">
        <f t="shared" si="17"/>
        <v>1275</v>
      </c>
      <c r="J280" s="353">
        <f t="shared" si="18"/>
        <v>37427</v>
      </c>
    </row>
    <row r="281" spans="1:10" x14ac:dyDescent="0.2">
      <c r="A281" s="207">
        <v>1276</v>
      </c>
      <c r="B281" s="207" t="s">
        <v>204</v>
      </c>
      <c r="C281" s="207" t="s">
        <v>202</v>
      </c>
      <c r="D281" s="207" t="s">
        <v>487</v>
      </c>
      <c r="E281" s="281">
        <v>0</v>
      </c>
      <c r="F281" s="281"/>
      <c r="G281" s="282">
        <v>36215</v>
      </c>
      <c r="H281" s="351" t="str">
        <f t="shared" si="16"/>
        <v>Danny Griffiths</v>
      </c>
      <c r="I281" s="353">
        <f t="shared" si="17"/>
        <v>1276</v>
      </c>
      <c r="J281" s="353">
        <f t="shared" si="18"/>
        <v>36215</v>
      </c>
    </row>
    <row r="282" spans="1:10" x14ac:dyDescent="0.2">
      <c r="A282" s="207">
        <v>1277</v>
      </c>
      <c r="B282" s="207" t="s">
        <v>553</v>
      </c>
      <c r="C282" s="207" t="s">
        <v>134</v>
      </c>
      <c r="D282" s="207" t="s">
        <v>487</v>
      </c>
      <c r="E282" s="281">
        <v>0</v>
      </c>
      <c r="F282" s="281" t="s">
        <v>35</v>
      </c>
      <c r="G282" s="282">
        <v>36566</v>
      </c>
      <c r="H282" s="351" t="str">
        <f t="shared" si="16"/>
        <v>Violetta Howard</v>
      </c>
      <c r="I282" s="353">
        <f t="shared" si="17"/>
        <v>1277</v>
      </c>
      <c r="J282" s="353">
        <f t="shared" si="18"/>
        <v>36566</v>
      </c>
    </row>
    <row r="283" spans="1:10" x14ac:dyDescent="0.2">
      <c r="A283" s="207">
        <v>1278</v>
      </c>
      <c r="B283" s="207" t="s">
        <v>51</v>
      </c>
      <c r="C283" s="207" t="s">
        <v>52</v>
      </c>
      <c r="D283" s="207" t="s">
        <v>620</v>
      </c>
      <c r="E283" s="281">
        <v>11394732</v>
      </c>
      <c r="F283" s="281" t="s">
        <v>35</v>
      </c>
      <c r="G283" s="282">
        <v>35537</v>
      </c>
      <c r="H283" s="351" t="str">
        <f t="shared" si="16"/>
        <v>Annabelle Bullock</v>
      </c>
      <c r="I283" s="353">
        <f t="shared" si="17"/>
        <v>1278</v>
      </c>
      <c r="J283" s="353">
        <f t="shared" si="18"/>
        <v>35537</v>
      </c>
    </row>
    <row r="284" spans="1:10" x14ac:dyDescent="0.2">
      <c r="A284" s="207">
        <v>1279</v>
      </c>
      <c r="B284" s="207" t="s">
        <v>984</v>
      </c>
      <c r="C284" s="207" t="s">
        <v>1150</v>
      </c>
      <c r="D284" s="207" t="s">
        <v>620</v>
      </c>
      <c r="E284" s="281">
        <v>0</v>
      </c>
      <c r="F284" s="281"/>
      <c r="G284" s="282">
        <v>37869</v>
      </c>
      <c r="H284" s="351" t="str">
        <f t="shared" si="16"/>
        <v>Kaydin Govender</v>
      </c>
      <c r="I284" s="353">
        <f t="shared" si="17"/>
        <v>1279</v>
      </c>
      <c r="J284" s="353">
        <f t="shared" si="18"/>
        <v>37869</v>
      </c>
    </row>
    <row r="285" spans="1:10" x14ac:dyDescent="0.2">
      <c r="A285" s="207">
        <v>1280</v>
      </c>
      <c r="B285" s="207" t="s">
        <v>42</v>
      </c>
      <c r="C285" s="207" t="s">
        <v>43</v>
      </c>
      <c r="D285" s="207" t="s">
        <v>620</v>
      </c>
      <c r="E285" s="281">
        <v>903036</v>
      </c>
      <c r="F285" s="281" t="s">
        <v>35</v>
      </c>
      <c r="G285" s="282">
        <v>34927</v>
      </c>
      <c r="H285" s="351" t="str">
        <f t="shared" si="16"/>
        <v>Elissa Johnson</v>
      </c>
      <c r="I285" s="353">
        <f t="shared" si="17"/>
        <v>1280</v>
      </c>
      <c r="J285" s="353">
        <f t="shared" si="18"/>
        <v>34927</v>
      </c>
    </row>
    <row r="286" spans="1:10" x14ac:dyDescent="0.2">
      <c r="A286" s="207">
        <v>1281</v>
      </c>
      <c r="B286" s="207" t="s">
        <v>1024</v>
      </c>
      <c r="C286" s="207" t="s">
        <v>1025</v>
      </c>
      <c r="D286" s="207" t="s">
        <v>528</v>
      </c>
      <c r="E286" s="281"/>
      <c r="F286" s="281"/>
      <c r="G286" s="282">
        <v>0</v>
      </c>
      <c r="H286" s="351" t="str">
        <f t="shared" si="16"/>
        <v>DNS in 2016 !</v>
      </c>
      <c r="I286" s="353">
        <f t="shared" si="17"/>
        <v>1281</v>
      </c>
      <c r="J286" s="353">
        <f t="shared" si="18"/>
        <v>0</v>
      </c>
    </row>
    <row r="287" spans="1:10" x14ac:dyDescent="0.2">
      <c r="A287" s="207">
        <v>1282</v>
      </c>
      <c r="B287" s="207" t="s">
        <v>119</v>
      </c>
      <c r="C287" s="207" t="s">
        <v>1151</v>
      </c>
      <c r="D287" s="207" t="s">
        <v>498</v>
      </c>
      <c r="E287" s="281"/>
      <c r="F287" s="281"/>
      <c r="G287" s="282">
        <v>38591</v>
      </c>
      <c r="H287" s="351" t="str">
        <f t="shared" si="16"/>
        <v>William Greig</v>
      </c>
      <c r="I287" s="353">
        <f t="shared" si="17"/>
        <v>1282</v>
      </c>
      <c r="J287" s="353">
        <f t="shared" si="18"/>
        <v>38591</v>
      </c>
    </row>
    <row r="288" spans="1:10" x14ac:dyDescent="0.2">
      <c r="A288" s="207">
        <v>1283</v>
      </c>
      <c r="B288" s="207" t="s">
        <v>1152</v>
      </c>
      <c r="C288" s="207" t="s">
        <v>761</v>
      </c>
      <c r="D288" s="207" t="s">
        <v>44</v>
      </c>
      <c r="E288" s="281">
        <v>0</v>
      </c>
      <c r="F288" s="281" t="s">
        <v>35</v>
      </c>
      <c r="G288" s="282">
        <v>37460</v>
      </c>
      <c r="H288" s="351" t="str">
        <f t="shared" si="16"/>
        <v>Leilani Baker</v>
      </c>
      <c r="I288" s="353">
        <f t="shared" si="17"/>
        <v>1283</v>
      </c>
      <c r="J288" s="353">
        <f t="shared" si="18"/>
        <v>37460</v>
      </c>
    </row>
    <row r="289" spans="1:10" x14ac:dyDescent="0.2">
      <c r="A289" s="207">
        <v>1284</v>
      </c>
      <c r="B289" s="207" t="s">
        <v>159</v>
      </c>
      <c r="C289" s="207" t="s">
        <v>747</v>
      </c>
      <c r="D289" s="207" t="s">
        <v>44</v>
      </c>
      <c r="E289" s="281">
        <v>0</v>
      </c>
      <c r="F289" s="281"/>
      <c r="G289" s="282">
        <v>36304</v>
      </c>
      <c r="H289" s="351" t="str">
        <f t="shared" si="16"/>
        <v>Rhys Harris</v>
      </c>
      <c r="I289" s="353">
        <f t="shared" si="17"/>
        <v>1284</v>
      </c>
      <c r="J289" s="353">
        <f t="shared" si="18"/>
        <v>36304</v>
      </c>
    </row>
    <row r="290" spans="1:10" x14ac:dyDescent="0.2">
      <c r="A290" s="207">
        <v>1285</v>
      </c>
      <c r="B290" s="207" t="s">
        <v>557</v>
      </c>
      <c r="C290" s="207" t="s">
        <v>1153</v>
      </c>
      <c r="D290" s="207" t="s">
        <v>44</v>
      </c>
      <c r="E290" s="281">
        <v>0</v>
      </c>
      <c r="F290" s="281"/>
      <c r="G290" s="282">
        <v>36798</v>
      </c>
      <c r="H290" s="351" t="str">
        <f t="shared" si="16"/>
        <v>Aiden Rampton</v>
      </c>
      <c r="I290" s="353">
        <f t="shared" si="17"/>
        <v>1285</v>
      </c>
      <c r="J290" s="353">
        <f t="shared" si="18"/>
        <v>36798</v>
      </c>
    </row>
    <row r="291" spans="1:10" x14ac:dyDescent="0.2">
      <c r="A291" s="207">
        <v>1286</v>
      </c>
      <c r="B291" s="207" t="s">
        <v>160</v>
      </c>
      <c r="C291" s="207" t="s">
        <v>621</v>
      </c>
      <c r="D291" s="207" t="s">
        <v>44</v>
      </c>
      <c r="E291" s="281">
        <v>0</v>
      </c>
      <c r="F291" s="281" t="s">
        <v>35</v>
      </c>
      <c r="G291" s="282">
        <v>37103</v>
      </c>
      <c r="H291" s="351" t="str">
        <f t="shared" si="16"/>
        <v>Megan Rogers</v>
      </c>
      <c r="I291" s="353">
        <f t="shared" si="17"/>
        <v>1286</v>
      </c>
      <c r="J291" s="353">
        <f t="shared" si="18"/>
        <v>37103</v>
      </c>
    </row>
    <row r="292" spans="1:10" x14ac:dyDescent="0.2">
      <c r="A292" s="207">
        <v>1287</v>
      </c>
      <c r="B292" s="207" t="s">
        <v>740</v>
      </c>
      <c r="C292" s="207" t="s">
        <v>510</v>
      </c>
      <c r="D292" s="207" t="s">
        <v>44</v>
      </c>
      <c r="E292" s="281">
        <v>0</v>
      </c>
      <c r="F292" s="281" t="s">
        <v>35</v>
      </c>
      <c r="G292" s="282">
        <v>37261</v>
      </c>
      <c r="H292" s="351" t="str">
        <f t="shared" si="16"/>
        <v>Jolie Thompson</v>
      </c>
      <c r="I292" s="353">
        <f t="shared" si="17"/>
        <v>1287</v>
      </c>
      <c r="J292" s="353">
        <f t="shared" si="18"/>
        <v>37261</v>
      </c>
    </row>
    <row r="293" spans="1:10" x14ac:dyDescent="0.2">
      <c r="A293" s="207">
        <v>1288</v>
      </c>
      <c r="B293" s="207" t="s">
        <v>1154</v>
      </c>
      <c r="C293" s="207" t="s">
        <v>1155</v>
      </c>
      <c r="D293" s="207" t="s">
        <v>1156</v>
      </c>
      <c r="E293" s="281">
        <v>10000000</v>
      </c>
      <c r="F293" s="281" t="s">
        <v>35</v>
      </c>
      <c r="G293" s="282">
        <v>35741</v>
      </c>
      <c r="H293" s="351" t="str">
        <f t="shared" si="16"/>
        <v>Suzanne Eastwood</v>
      </c>
      <c r="I293" s="353">
        <f t="shared" si="17"/>
        <v>1288</v>
      </c>
      <c r="J293" s="353">
        <f t="shared" si="18"/>
        <v>35741</v>
      </c>
    </row>
    <row r="294" spans="1:10" x14ac:dyDescent="0.2">
      <c r="A294" s="207">
        <v>1289</v>
      </c>
      <c r="B294" s="207" t="s">
        <v>135</v>
      </c>
      <c r="C294" s="207" t="s">
        <v>741</v>
      </c>
      <c r="D294" s="207" t="s">
        <v>1156</v>
      </c>
      <c r="E294" s="281">
        <v>11394738</v>
      </c>
      <c r="F294" s="281"/>
      <c r="G294" s="282">
        <v>35810</v>
      </c>
      <c r="H294" s="351" t="str">
        <f t="shared" si="16"/>
        <v>Jack Jeffreys</v>
      </c>
      <c r="I294" s="353">
        <f t="shared" si="17"/>
        <v>1289</v>
      </c>
      <c r="J294" s="353">
        <f t="shared" si="18"/>
        <v>35810</v>
      </c>
    </row>
    <row r="295" spans="1:10" x14ac:dyDescent="0.2">
      <c r="A295" s="207">
        <v>1290</v>
      </c>
      <c r="B295" s="207" t="s">
        <v>730</v>
      </c>
      <c r="C295" s="207" t="s">
        <v>939</v>
      </c>
      <c r="D295" s="207" t="s">
        <v>729</v>
      </c>
      <c r="E295" s="281">
        <v>0</v>
      </c>
      <c r="F295" s="281" t="s">
        <v>35</v>
      </c>
      <c r="G295" s="282">
        <v>38143</v>
      </c>
      <c r="H295" s="351" t="str">
        <f t="shared" si="16"/>
        <v>Amber Bereen</v>
      </c>
      <c r="I295" s="353">
        <f t="shared" si="17"/>
        <v>1290</v>
      </c>
      <c r="J295" s="353">
        <f t="shared" si="18"/>
        <v>38143</v>
      </c>
    </row>
    <row r="296" spans="1:10" x14ac:dyDescent="0.2">
      <c r="A296" s="207">
        <v>1291</v>
      </c>
      <c r="B296" s="207" t="s">
        <v>1157</v>
      </c>
      <c r="C296" s="207" t="s">
        <v>731</v>
      </c>
      <c r="D296" s="207" t="s">
        <v>729</v>
      </c>
      <c r="E296" s="281">
        <v>0</v>
      </c>
      <c r="F296" s="281"/>
      <c r="G296" s="282">
        <v>38952</v>
      </c>
      <c r="H296" s="351" t="str">
        <f t="shared" si="16"/>
        <v>Finn Berreen</v>
      </c>
      <c r="I296" s="353">
        <f t="shared" si="17"/>
        <v>1291</v>
      </c>
      <c r="J296" s="353">
        <f t="shared" si="18"/>
        <v>38952</v>
      </c>
    </row>
    <row r="297" spans="1:10" x14ac:dyDescent="0.2">
      <c r="A297" s="207">
        <v>1292</v>
      </c>
      <c r="B297" s="207" t="s">
        <v>732</v>
      </c>
      <c r="C297" s="207" t="s">
        <v>731</v>
      </c>
      <c r="D297" s="207" t="s">
        <v>729</v>
      </c>
      <c r="E297" s="281">
        <v>766762</v>
      </c>
      <c r="F297" s="281"/>
      <c r="G297" s="282">
        <v>22412</v>
      </c>
      <c r="H297" s="351" t="str">
        <f t="shared" si="16"/>
        <v>Ken Berreen</v>
      </c>
      <c r="I297" s="353">
        <f t="shared" si="17"/>
        <v>1292</v>
      </c>
      <c r="J297" s="353">
        <f t="shared" si="18"/>
        <v>22412</v>
      </c>
    </row>
    <row r="298" spans="1:10" x14ac:dyDescent="0.2">
      <c r="A298" s="207">
        <v>1293</v>
      </c>
      <c r="B298" s="207" t="s">
        <v>66</v>
      </c>
      <c r="C298" s="207" t="s">
        <v>1158</v>
      </c>
      <c r="D298" s="207" t="s">
        <v>729</v>
      </c>
      <c r="E298" s="281">
        <v>10441910</v>
      </c>
      <c r="F298" s="281"/>
      <c r="G298" s="282">
        <v>35745</v>
      </c>
      <c r="H298" s="351" t="str">
        <f t="shared" si="16"/>
        <v>Matthew Clipperton</v>
      </c>
      <c r="I298" s="353">
        <f t="shared" si="17"/>
        <v>1293</v>
      </c>
      <c r="J298" s="353">
        <f t="shared" si="18"/>
        <v>35745</v>
      </c>
    </row>
    <row r="299" spans="1:10" x14ac:dyDescent="0.2">
      <c r="A299" s="207">
        <v>1294</v>
      </c>
      <c r="B299" s="207" t="s">
        <v>1159</v>
      </c>
      <c r="C299" s="207" t="s">
        <v>1160</v>
      </c>
      <c r="D299" s="207" t="s">
        <v>729</v>
      </c>
      <c r="E299" s="281">
        <v>0</v>
      </c>
      <c r="F299" s="281"/>
      <c r="G299" s="282">
        <v>38981</v>
      </c>
      <c r="H299" s="351" t="str">
        <f t="shared" si="16"/>
        <v>Stevie Dowling</v>
      </c>
      <c r="I299" s="353">
        <f t="shared" si="17"/>
        <v>1294</v>
      </c>
      <c r="J299" s="353">
        <f t="shared" si="18"/>
        <v>38981</v>
      </c>
    </row>
    <row r="300" spans="1:10" x14ac:dyDescent="0.2">
      <c r="A300" s="207">
        <v>1295</v>
      </c>
      <c r="B300" s="207" t="s">
        <v>120</v>
      </c>
      <c r="C300" s="207" t="s">
        <v>177</v>
      </c>
      <c r="D300" s="207" t="s">
        <v>729</v>
      </c>
      <c r="E300" s="281">
        <v>246919</v>
      </c>
      <c r="F300" s="281"/>
      <c r="G300" s="282">
        <v>23141</v>
      </c>
      <c r="H300" s="351" t="str">
        <f t="shared" si="16"/>
        <v>Craig Edwards</v>
      </c>
      <c r="I300" s="353">
        <f t="shared" si="17"/>
        <v>1295</v>
      </c>
      <c r="J300" s="353">
        <f t="shared" si="18"/>
        <v>23141</v>
      </c>
    </row>
    <row r="301" spans="1:10" x14ac:dyDescent="0.2">
      <c r="A301" s="207">
        <v>1296</v>
      </c>
      <c r="B301" s="207" t="s">
        <v>139</v>
      </c>
      <c r="C301" s="207" t="s">
        <v>177</v>
      </c>
      <c r="D301" s="207" t="s">
        <v>729</v>
      </c>
      <c r="E301" s="281">
        <v>662242</v>
      </c>
      <c r="F301" s="281"/>
      <c r="G301" s="282">
        <v>33364</v>
      </c>
      <c r="H301" s="351" t="str">
        <f t="shared" si="16"/>
        <v>Sean Edwards</v>
      </c>
      <c r="I301" s="353">
        <f t="shared" si="17"/>
        <v>1296</v>
      </c>
      <c r="J301" s="353">
        <f t="shared" si="18"/>
        <v>33364</v>
      </c>
    </row>
    <row r="302" spans="1:10" x14ac:dyDescent="0.2">
      <c r="A302" s="207">
        <v>1297</v>
      </c>
      <c r="B302" s="207" t="s">
        <v>96</v>
      </c>
      <c r="C302" s="207" t="s">
        <v>224</v>
      </c>
      <c r="D302" s="207" t="s">
        <v>729</v>
      </c>
      <c r="E302" s="281">
        <v>0</v>
      </c>
      <c r="F302" s="281"/>
      <c r="G302" s="282">
        <v>36085</v>
      </c>
      <c r="H302" s="351" t="str">
        <f t="shared" si="16"/>
        <v>Thomas Fox</v>
      </c>
      <c r="I302" s="353">
        <f t="shared" si="17"/>
        <v>1297</v>
      </c>
      <c r="J302" s="353">
        <f t="shared" si="18"/>
        <v>36085</v>
      </c>
    </row>
    <row r="303" spans="1:10" x14ac:dyDescent="0.2">
      <c r="A303" s="207">
        <v>1298</v>
      </c>
      <c r="B303" s="207" t="s">
        <v>497</v>
      </c>
      <c r="C303" s="207" t="s">
        <v>223</v>
      </c>
      <c r="D303" s="207" t="s">
        <v>729</v>
      </c>
      <c r="E303" s="281">
        <v>487721</v>
      </c>
      <c r="F303" s="281"/>
      <c r="G303" s="282">
        <v>22328</v>
      </c>
      <c r="H303" s="351" t="str">
        <f t="shared" si="16"/>
        <v>Bob Hemmings</v>
      </c>
      <c r="I303" s="353">
        <f t="shared" si="17"/>
        <v>1298</v>
      </c>
      <c r="J303" s="353">
        <f t="shared" si="18"/>
        <v>22328</v>
      </c>
    </row>
    <row r="304" spans="1:10" x14ac:dyDescent="0.2">
      <c r="A304" s="207">
        <v>1299</v>
      </c>
      <c r="B304" s="207" t="s">
        <v>937</v>
      </c>
      <c r="C304" s="207" t="s">
        <v>223</v>
      </c>
      <c r="D304" s="207" t="s">
        <v>729</v>
      </c>
      <c r="E304" s="281">
        <v>0</v>
      </c>
      <c r="F304" s="281" t="s">
        <v>35</v>
      </c>
      <c r="G304" s="282">
        <v>37438</v>
      </c>
      <c r="H304" s="351" t="str">
        <f t="shared" si="16"/>
        <v>Chloë Hemmings</v>
      </c>
      <c r="I304" s="353">
        <f t="shared" si="17"/>
        <v>1299</v>
      </c>
      <c r="J304" s="353">
        <f t="shared" si="18"/>
        <v>37438</v>
      </c>
    </row>
    <row r="305" spans="1:10" x14ac:dyDescent="0.2">
      <c r="A305" s="207">
        <v>1300</v>
      </c>
      <c r="B305" s="207" t="s">
        <v>79</v>
      </c>
      <c r="C305" s="207" t="s">
        <v>1161</v>
      </c>
      <c r="D305" s="207" t="s">
        <v>729</v>
      </c>
      <c r="E305" s="281">
        <v>0</v>
      </c>
      <c r="F305" s="281"/>
      <c r="G305" s="282">
        <v>37816</v>
      </c>
      <c r="H305" s="351" t="str">
        <f t="shared" si="16"/>
        <v>Robert Hull</v>
      </c>
      <c r="I305" s="353">
        <f t="shared" si="17"/>
        <v>1300</v>
      </c>
      <c r="J305" s="353">
        <f t="shared" si="18"/>
        <v>37816</v>
      </c>
    </row>
    <row r="306" spans="1:10" x14ac:dyDescent="0.2">
      <c r="A306" s="207">
        <v>1301</v>
      </c>
      <c r="B306" s="207" t="s">
        <v>102</v>
      </c>
      <c r="C306" s="207" t="s">
        <v>1162</v>
      </c>
      <c r="D306" s="207" t="s">
        <v>729</v>
      </c>
      <c r="E306" s="281">
        <v>0</v>
      </c>
      <c r="F306" s="281" t="s">
        <v>35</v>
      </c>
      <c r="G306" s="282">
        <v>36398</v>
      </c>
      <c r="H306" s="351" t="str">
        <f t="shared" si="16"/>
        <v>Amy Muller</v>
      </c>
      <c r="I306" s="353">
        <f t="shared" si="17"/>
        <v>1301</v>
      </c>
      <c r="J306" s="353">
        <f t="shared" si="18"/>
        <v>36398</v>
      </c>
    </row>
    <row r="307" spans="1:10" x14ac:dyDescent="0.2">
      <c r="A307" s="207">
        <v>1302</v>
      </c>
      <c r="B307" s="207" t="s">
        <v>200</v>
      </c>
      <c r="C307" s="207" t="s">
        <v>1162</v>
      </c>
      <c r="D307" s="207" t="s">
        <v>729</v>
      </c>
      <c r="E307" s="281">
        <v>0</v>
      </c>
      <c r="F307" s="281" t="s">
        <v>35</v>
      </c>
      <c r="G307" s="282">
        <v>37000</v>
      </c>
      <c r="H307" s="351" t="str">
        <f t="shared" si="16"/>
        <v>Hannah Muller</v>
      </c>
      <c r="I307" s="353">
        <f t="shared" si="17"/>
        <v>1302</v>
      </c>
      <c r="J307" s="353">
        <f t="shared" si="18"/>
        <v>37000</v>
      </c>
    </row>
    <row r="308" spans="1:10" x14ac:dyDescent="0.2">
      <c r="A308" s="207">
        <v>1303</v>
      </c>
      <c r="B308" s="207" t="s">
        <v>1163</v>
      </c>
      <c r="C308" s="207" t="s">
        <v>1164</v>
      </c>
      <c r="D308" s="207" t="s">
        <v>729</v>
      </c>
      <c r="E308" s="281">
        <v>0</v>
      </c>
      <c r="F308" s="281" t="s">
        <v>35</v>
      </c>
      <c r="G308" s="282">
        <v>37265</v>
      </c>
      <c r="H308" s="351" t="str">
        <f t="shared" si="16"/>
        <v>Kya Pinch</v>
      </c>
      <c r="I308" s="353">
        <f t="shared" si="17"/>
        <v>1303</v>
      </c>
      <c r="J308" s="353">
        <f t="shared" si="18"/>
        <v>37265</v>
      </c>
    </row>
    <row r="309" spans="1:10" x14ac:dyDescent="0.2">
      <c r="A309" s="207">
        <v>1304</v>
      </c>
      <c r="B309" s="207" t="s">
        <v>619</v>
      </c>
      <c r="C309" s="207" t="s">
        <v>938</v>
      </c>
      <c r="D309" s="207" t="s">
        <v>729</v>
      </c>
      <c r="E309" s="281">
        <v>11967657</v>
      </c>
      <c r="F309" s="281"/>
      <c r="G309" s="282">
        <v>36025</v>
      </c>
      <c r="H309" s="351" t="str">
        <f t="shared" si="16"/>
        <v>Mathew Pitt</v>
      </c>
      <c r="I309" s="353">
        <f t="shared" si="17"/>
        <v>1304</v>
      </c>
      <c r="J309" s="353">
        <f t="shared" si="18"/>
        <v>36025</v>
      </c>
    </row>
    <row r="310" spans="1:10" x14ac:dyDescent="0.2">
      <c r="A310" s="207">
        <v>1305</v>
      </c>
      <c r="B310" s="207" t="s">
        <v>54</v>
      </c>
      <c r="C310" s="207" t="s">
        <v>915</v>
      </c>
      <c r="D310" s="207" t="s">
        <v>570</v>
      </c>
      <c r="E310" s="281">
        <v>0</v>
      </c>
      <c r="F310" s="281"/>
      <c r="G310" s="282">
        <v>37360</v>
      </c>
      <c r="H310" s="351" t="str">
        <f t="shared" si="16"/>
        <v>Joseph Billington</v>
      </c>
      <c r="I310" s="353">
        <f t="shared" si="17"/>
        <v>1305</v>
      </c>
      <c r="J310" s="353">
        <f t="shared" si="18"/>
        <v>37360</v>
      </c>
    </row>
    <row r="311" spans="1:10" x14ac:dyDescent="0.2">
      <c r="A311" s="207">
        <v>1306</v>
      </c>
      <c r="B311" s="207" t="s">
        <v>139</v>
      </c>
      <c r="C311" s="207" t="s">
        <v>220</v>
      </c>
      <c r="D311" s="207" t="s">
        <v>570</v>
      </c>
      <c r="E311" s="281">
        <v>0</v>
      </c>
      <c r="F311" s="281"/>
      <c r="G311" s="282">
        <v>37596</v>
      </c>
      <c r="H311" s="351" t="str">
        <f t="shared" si="16"/>
        <v>Sean Bradley</v>
      </c>
      <c r="I311" s="353">
        <f t="shared" si="17"/>
        <v>1306</v>
      </c>
      <c r="J311" s="353">
        <f t="shared" si="18"/>
        <v>37596</v>
      </c>
    </row>
    <row r="312" spans="1:10" x14ac:dyDescent="0.2">
      <c r="A312" s="207">
        <v>1307</v>
      </c>
      <c r="B312" s="207" t="s">
        <v>117</v>
      </c>
      <c r="C312" s="207" t="s">
        <v>571</v>
      </c>
      <c r="D312" s="207" t="s">
        <v>570</v>
      </c>
      <c r="E312" s="281">
        <v>861195</v>
      </c>
      <c r="F312" s="281"/>
      <c r="G312" s="282">
        <v>25020</v>
      </c>
      <c r="H312" s="351" t="str">
        <f t="shared" si="16"/>
        <v>Chris Chappell</v>
      </c>
      <c r="I312" s="353">
        <f t="shared" si="17"/>
        <v>1307</v>
      </c>
      <c r="J312" s="353">
        <f t="shared" si="18"/>
        <v>25020</v>
      </c>
    </row>
    <row r="313" spans="1:10" x14ac:dyDescent="0.2">
      <c r="A313" s="207">
        <v>1308</v>
      </c>
      <c r="B313" s="207" t="s">
        <v>86</v>
      </c>
      <c r="C313" s="207" t="s">
        <v>571</v>
      </c>
      <c r="D313" s="207" t="s">
        <v>570</v>
      </c>
      <c r="E313" s="281">
        <v>0</v>
      </c>
      <c r="F313" s="281" t="s">
        <v>35</v>
      </c>
      <c r="G313" s="282">
        <v>36282</v>
      </c>
      <c r="H313" s="351" t="str">
        <f t="shared" si="16"/>
        <v>Katie Chappell</v>
      </c>
      <c r="I313" s="353">
        <f t="shared" si="17"/>
        <v>1308</v>
      </c>
      <c r="J313" s="353">
        <f t="shared" si="18"/>
        <v>36282</v>
      </c>
    </row>
    <row r="314" spans="1:10" x14ac:dyDescent="0.2">
      <c r="A314" s="207">
        <v>1309</v>
      </c>
      <c r="B314" s="207" t="s">
        <v>103</v>
      </c>
      <c r="C314" s="207" t="s">
        <v>516</v>
      </c>
      <c r="D314" s="207" t="s">
        <v>570</v>
      </c>
      <c r="E314" s="281">
        <v>0</v>
      </c>
      <c r="F314" s="281"/>
      <c r="G314" s="282">
        <v>36145</v>
      </c>
      <c r="H314" s="351" t="str">
        <f t="shared" si="16"/>
        <v>Nathan Gambrill</v>
      </c>
      <c r="I314" s="353">
        <f t="shared" si="17"/>
        <v>1309</v>
      </c>
      <c r="J314" s="353">
        <f t="shared" si="18"/>
        <v>36145</v>
      </c>
    </row>
    <row r="315" spans="1:10" x14ac:dyDescent="0.2">
      <c r="A315" s="207">
        <v>1310</v>
      </c>
      <c r="B315" s="207" t="s">
        <v>1165</v>
      </c>
      <c r="C315" s="207" t="s">
        <v>1166</v>
      </c>
      <c r="D315" s="207" t="s">
        <v>570</v>
      </c>
      <c r="E315" s="281">
        <v>0</v>
      </c>
      <c r="F315" s="281" t="s">
        <v>35</v>
      </c>
      <c r="G315" s="282">
        <v>38580</v>
      </c>
      <c r="H315" s="351" t="str">
        <f t="shared" si="16"/>
        <v>Darcey Gloding</v>
      </c>
      <c r="I315" s="353">
        <f t="shared" si="17"/>
        <v>1310</v>
      </c>
      <c r="J315" s="353">
        <f t="shared" si="18"/>
        <v>38580</v>
      </c>
    </row>
    <row r="316" spans="1:10" x14ac:dyDescent="0.2">
      <c r="A316" s="207">
        <v>1311</v>
      </c>
      <c r="B316" s="207" t="s">
        <v>69</v>
      </c>
      <c r="C316" s="207" t="s">
        <v>798</v>
      </c>
      <c r="D316" s="207" t="s">
        <v>570</v>
      </c>
      <c r="E316" s="281">
        <v>0</v>
      </c>
      <c r="F316" s="281"/>
      <c r="G316" s="282">
        <v>37358</v>
      </c>
      <c r="H316" s="351" t="str">
        <f t="shared" si="16"/>
        <v>David Hardy</v>
      </c>
      <c r="I316" s="353">
        <f t="shared" si="17"/>
        <v>1311</v>
      </c>
      <c r="J316" s="353">
        <f t="shared" si="18"/>
        <v>37358</v>
      </c>
    </row>
    <row r="317" spans="1:10" x14ac:dyDescent="0.2">
      <c r="A317" s="207">
        <v>1312</v>
      </c>
      <c r="B317" s="207" t="s">
        <v>82</v>
      </c>
      <c r="C317" s="207" t="s">
        <v>797</v>
      </c>
      <c r="D317" s="207" t="s">
        <v>570</v>
      </c>
      <c r="E317" s="281">
        <v>0</v>
      </c>
      <c r="F317" s="281"/>
      <c r="G317" s="282">
        <v>37403</v>
      </c>
      <c r="H317" s="351" t="str">
        <f t="shared" si="16"/>
        <v>Kieran Hughes</v>
      </c>
      <c r="I317" s="353">
        <f t="shared" si="17"/>
        <v>1312</v>
      </c>
      <c r="J317" s="353">
        <f t="shared" si="18"/>
        <v>37403</v>
      </c>
    </row>
    <row r="318" spans="1:10" x14ac:dyDescent="0.2">
      <c r="A318" s="207">
        <v>1313</v>
      </c>
      <c r="B318" s="207" t="s">
        <v>133</v>
      </c>
      <c r="C318" s="207" t="s">
        <v>680</v>
      </c>
      <c r="D318" s="207" t="s">
        <v>570</v>
      </c>
      <c r="E318" s="281">
        <v>794031</v>
      </c>
      <c r="F318" s="281"/>
      <c r="G318" s="282">
        <v>34177</v>
      </c>
      <c r="H318" s="351" t="str">
        <f t="shared" si="16"/>
        <v>Adam Line</v>
      </c>
      <c r="I318" s="353">
        <f t="shared" si="17"/>
        <v>1313</v>
      </c>
      <c r="J318" s="353">
        <f t="shared" si="18"/>
        <v>34177</v>
      </c>
    </row>
    <row r="319" spans="1:10" x14ac:dyDescent="0.2">
      <c r="A319" s="207">
        <v>1314</v>
      </c>
      <c r="B319" s="207" t="s">
        <v>59</v>
      </c>
      <c r="C319" s="207" t="s">
        <v>515</v>
      </c>
      <c r="D319" s="207" t="s">
        <v>570</v>
      </c>
      <c r="E319" s="281">
        <v>0</v>
      </c>
      <c r="F319" s="281"/>
      <c r="G319" s="282">
        <v>36286</v>
      </c>
      <c r="H319" s="351" t="str">
        <f t="shared" si="16"/>
        <v>Andrew Popplewell</v>
      </c>
      <c r="I319" s="353">
        <f t="shared" si="17"/>
        <v>1314</v>
      </c>
      <c r="J319" s="353">
        <f t="shared" si="18"/>
        <v>36286</v>
      </c>
    </row>
    <row r="320" spans="1:10" x14ac:dyDescent="0.2">
      <c r="A320" s="207">
        <v>1315</v>
      </c>
      <c r="B320" s="207" t="s">
        <v>126</v>
      </c>
      <c r="C320" s="207" t="s">
        <v>515</v>
      </c>
      <c r="D320" s="207" t="s">
        <v>570</v>
      </c>
      <c r="E320" s="281">
        <v>0</v>
      </c>
      <c r="F320" s="281" t="s">
        <v>35</v>
      </c>
      <c r="G320" s="282">
        <v>37041</v>
      </c>
      <c r="H320" s="351" t="str">
        <f t="shared" si="16"/>
        <v>Charlotte Popplewell</v>
      </c>
      <c r="I320" s="353">
        <f t="shared" si="17"/>
        <v>1315</v>
      </c>
      <c r="J320" s="353">
        <f t="shared" si="18"/>
        <v>37041</v>
      </c>
    </row>
    <row r="321" spans="1:10" x14ac:dyDescent="0.2">
      <c r="A321" s="207">
        <v>1316</v>
      </c>
      <c r="B321" s="207" t="s">
        <v>187</v>
      </c>
      <c r="C321" s="207" t="s">
        <v>515</v>
      </c>
      <c r="D321" s="207" t="s">
        <v>570</v>
      </c>
      <c r="E321" s="281">
        <v>513887</v>
      </c>
      <c r="F321" s="281"/>
      <c r="G321" s="282">
        <v>27044</v>
      </c>
      <c r="H321" s="351" t="str">
        <f t="shared" si="16"/>
        <v>Steve Popplewell</v>
      </c>
      <c r="I321" s="353">
        <f t="shared" si="17"/>
        <v>1316</v>
      </c>
      <c r="J321" s="353">
        <f t="shared" si="18"/>
        <v>27044</v>
      </c>
    </row>
    <row r="322" spans="1:10" x14ac:dyDescent="0.2">
      <c r="A322" s="207">
        <v>1317</v>
      </c>
      <c r="B322" s="207" t="s">
        <v>158</v>
      </c>
      <c r="C322" s="207" t="s">
        <v>214</v>
      </c>
      <c r="D322" s="207" t="s">
        <v>570</v>
      </c>
      <c r="E322" s="281"/>
      <c r="F322" s="281"/>
      <c r="G322" s="282">
        <v>37292</v>
      </c>
      <c r="H322" s="351" t="str">
        <f t="shared" si="16"/>
        <v>Christopher Hancock</v>
      </c>
      <c r="I322" s="353">
        <f t="shared" si="17"/>
        <v>1317</v>
      </c>
      <c r="J322" s="353">
        <f t="shared" si="18"/>
        <v>37292</v>
      </c>
    </row>
    <row r="323" spans="1:10" x14ac:dyDescent="0.2">
      <c r="A323" s="207">
        <v>1318</v>
      </c>
      <c r="B323" s="207" t="s">
        <v>678</v>
      </c>
      <c r="C323" s="207" t="s">
        <v>679</v>
      </c>
      <c r="D323" s="207" t="s">
        <v>570</v>
      </c>
      <c r="E323" s="281">
        <v>0</v>
      </c>
      <c r="F323" s="281"/>
      <c r="G323" s="282">
        <v>37819</v>
      </c>
      <c r="H323" s="351" t="str">
        <f t="shared" si="16"/>
        <v>Conor Stanfield</v>
      </c>
      <c r="I323" s="353">
        <f t="shared" si="17"/>
        <v>1318</v>
      </c>
      <c r="J323" s="353">
        <f t="shared" si="18"/>
        <v>37819</v>
      </c>
    </row>
    <row r="324" spans="1:10" x14ac:dyDescent="0.2">
      <c r="A324" s="207">
        <v>1319</v>
      </c>
      <c r="B324" s="207" t="s">
        <v>699</v>
      </c>
      <c r="C324" s="207" t="s">
        <v>653</v>
      </c>
      <c r="D324" s="207" t="s">
        <v>570</v>
      </c>
      <c r="E324" s="281">
        <v>0</v>
      </c>
      <c r="F324" s="281" t="s">
        <v>35</v>
      </c>
      <c r="G324" s="282">
        <v>37964</v>
      </c>
      <c r="H324" s="351" t="str">
        <f t="shared" si="16"/>
        <v>Lauren White</v>
      </c>
      <c r="I324" s="353">
        <f t="shared" si="17"/>
        <v>1319</v>
      </c>
      <c r="J324" s="353">
        <f t="shared" si="18"/>
        <v>37964</v>
      </c>
    </row>
    <row r="325" spans="1:10" x14ac:dyDescent="0.2">
      <c r="A325" s="207">
        <v>1320</v>
      </c>
      <c r="B325" s="207" t="s">
        <v>87</v>
      </c>
      <c r="C325" s="207" t="s">
        <v>81</v>
      </c>
      <c r="D325" s="207" t="s">
        <v>570</v>
      </c>
      <c r="E325" s="281">
        <v>0</v>
      </c>
      <c r="F325" s="281"/>
      <c r="G325" s="282">
        <v>27934</v>
      </c>
      <c r="H325" s="351" t="str">
        <f t="shared" si="16"/>
        <v>Mark Jones</v>
      </c>
      <c r="I325" s="353">
        <f t="shared" si="17"/>
        <v>1320</v>
      </c>
      <c r="J325" s="353">
        <f t="shared" si="18"/>
        <v>27934</v>
      </c>
    </row>
    <row r="326" spans="1:10" x14ac:dyDescent="0.2">
      <c r="A326" s="207">
        <v>1321</v>
      </c>
      <c r="B326" s="207" t="s">
        <v>84</v>
      </c>
      <c r="C326" s="207" t="s">
        <v>862</v>
      </c>
      <c r="D326" s="207" t="s">
        <v>854</v>
      </c>
      <c r="E326" s="281">
        <v>0</v>
      </c>
      <c r="F326" s="281"/>
      <c r="G326" s="282">
        <v>37545</v>
      </c>
      <c r="H326" s="351" t="str">
        <f t="shared" si="16"/>
        <v>Sam French</v>
      </c>
      <c r="I326" s="353">
        <f t="shared" si="17"/>
        <v>1321</v>
      </c>
      <c r="J326" s="353">
        <f t="shared" si="18"/>
        <v>37545</v>
      </c>
    </row>
    <row r="327" spans="1:10" x14ac:dyDescent="0.2">
      <c r="A327" s="207">
        <v>1322</v>
      </c>
      <c r="B327" s="207" t="s">
        <v>756</v>
      </c>
      <c r="C327" s="207" t="s">
        <v>1167</v>
      </c>
      <c r="D327" s="207" t="s">
        <v>854</v>
      </c>
      <c r="E327" s="281">
        <v>0</v>
      </c>
      <c r="F327" s="281"/>
      <c r="G327" s="282">
        <v>38057</v>
      </c>
      <c r="H327" s="351" t="str">
        <f t="shared" si="16"/>
        <v>Alfie Geeson</v>
      </c>
      <c r="I327" s="353">
        <f t="shared" si="17"/>
        <v>1322</v>
      </c>
      <c r="J327" s="353">
        <f t="shared" si="18"/>
        <v>38057</v>
      </c>
    </row>
    <row r="328" spans="1:10" x14ac:dyDescent="0.2">
      <c r="A328" s="207">
        <v>1323</v>
      </c>
      <c r="B328" s="207" t="s">
        <v>41</v>
      </c>
      <c r="C328" s="207" t="s">
        <v>860</v>
      </c>
      <c r="D328" s="207" t="s">
        <v>854</v>
      </c>
      <c r="E328" s="281">
        <v>0</v>
      </c>
      <c r="F328" s="281"/>
      <c r="G328" s="282">
        <v>37958</v>
      </c>
      <c r="H328" s="351" t="str">
        <f t="shared" si="16"/>
        <v>Toby Gifford</v>
      </c>
      <c r="I328" s="353">
        <f t="shared" si="17"/>
        <v>1323</v>
      </c>
      <c r="J328" s="353">
        <f t="shared" si="18"/>
        <v>37958</v>
      </c>
    </row>
    <row r="329" spans="1:10" x14ac:dyDescent="0.2">
      <c r="A329" s="207">
        <v>1324</v>
      </c>
      <c r="B329" s="207" t="s">
        <v>794</v>
      </c>
      <c r="C329" s="207" t="s">
        <v>855</v>
      </c>
      <c r="D329" s="207" t="s">
        <v>854</v>
      </c>
      <c r="E329" s="281">
        <v>0</v>
      </c>
      <c r="F329" s="281" t="s">
        <v>35</v>
      </c>
      <c r="G329" s="282">
        <v>37301</v>
      </c>
      <c r="H329" s="351" t="str">
        <f t="shared" ref="H329:H392" si="19">CONCATENATE(B329," ",C329)</f>
        <v>Abigail Goodman</v>
      </c>
      <c r="I329" s="353">
        <f t="shared" ref="I329:I392" si="20">A329</f>
        <v>1324</v>
      </c>
      <c r="J329" s="353">
        <f t="shared" ref="J329:J392" si="21">G329</f>
        <v>37301</v>
      </c>
    </row>
    <row r="330" spans="1:10" x14ac:dyDescent="0.2">
      <c r="A330" s="207">
        <v>1325</v>
      </c>
      <c r="B330" s="207" t="s">
        <v>551</v>
      </c>
      <c r="C330" s="207" t="s">
        <v>188</v>
      </c>
      <c r="D330" s="207" t="s">
        <v>854</v>
      </c>
      <c r="E330" s="281">
        <v>0</v>
      </c>
      <c r="F330" s="281" t="s">
        <v>35</v>
      </c>
      <c r="G330" s="282">
        <v>37298</v>
      </c>
      <c r="H330" s="351" t="str">
        <f t="shared" si="19"/>
        <v>Laura Harrison</v>
      </c>
      <c r="I330" s="353">
        <f t="shared" si="20"/>
        <v>1325</v>
      </c>
      <c r="J330" s="353">
        <f t="shared" si="21"/>
        <v>37298</v>
      </c>
    </row>
    <row r="331" spans="1:10" x14ac:dyDescent="0.2">
      <c r="A331" s="207">
        <v>1326</v>
      </c>
      <c r="B331" s="207" t="s">
        <v>187</v>
      </c>
      <c r="C331" s="207" t="s">
        <v>188</v>
      </c>
      <c r="D331" s="207" t="s">
        <v>854</v>
      </c>
      <c r="E331" s="281">
        <v>500923</v>
      </c>
      <c r="F331" s="281"/>
      <c r="G331" s="282">
        <v>24400</v>
      </c>
      <c r="H331" s="351" t="str">
        <f t="shared" si="19"/>
        <v>Steve Harrison</v>
      </c>
      <c r="I331" s="353">
        <f t="shared" si="20"/>
        <v>1326</v>
      </c>
      <c r="J331" s="353">
        <f t="shared" si="21"/>
        <v>24400</v>
      </c>
    </row>
    <row r="332" spans="1:10" x14ac:dyDescent="0.2">
      <c r="A332" s="207">
        <v>1327</v>
      </c>
      <c r="B332" s="207" t="s">
        <v>856</v>
      </c>
      <c r="C332" s="207" t="s">
        <v>857</v>
      </c>
      <c r="D332" s="207" t="s">
        <v>854</v>
      </c>
      <c r="E332" s="281">
        <v>0</v>
      </c>
      <c r="F332" s="281" t="s">
        <v>35</v>
      </c>
      <c r="G332" s="282">
        <v>37382</v>
      </c>
      <c r="H332" s="351" t="str">
        <f t="shared" si="19"/>
        <v>Kira Ibison-Steele</v>
      </c>
      <c r="I332" s="353">
        <f t="shared" si="20"/>
        <v>1327</v>
      </c>
      <c r="J332" s="353">
        <f t="shared" si="21"/>
        <v>37382</v>
      </c>
    </row>
    <row r="333" spans="1:10" x14ac:dyDescent="0.2">
      <c r="A333" s="207">
        <v>1328</v>
      </c>
      <c r="B333" s="207" t="s">
        <v>101</v>
      </c>
      <c r="C333" s="207" t="s">
        <v>1168</v>
      </c>
      <c r="D333" s="207" t="s">
        <v>854</v>
      </c>
      <c r="E333" s="281">
        <v>11951956</v>
      </c>
      <c r="F333" s="281"/>
      <c r="G333" s="282">
        <v>35279</v>
      </c>
      <c r="H333" s="351" t="str">
        <f t="shared" si="19"/>
        <v>Andy Inglis</v>
      </c>
      <c r="I333" s="353">
        <f t="shared" si="20"/>
        <v>1328</v>
      </c>
      <c r="J333" s="353">
        <f t="shared" si="21"/>
        <v>35279</v>
      </c>
    </row>
    <row r="334" spans="1:10" x14ac:dyDescent="0.2">
      <c r="A334" s="207">
        <v>1329</v>
      </c>
      <c r="B334" s="207" t="s">
        <v>135</v>
      </c>
      <c r="C334" s="207" t="s">
        <v>1169</v>
      </c>
      <c r="D334" s="207" t="s">
        <v>854</v>
      </c>
      <c r="E334" s="281">
        <v>0</v>
      </c>
      <c r="F334" s="281"/>
      <c r="G334" s="282">
        <v>37553</v>
      </c>
      <c r="H334" s="351" t="str">
        <f t="shared" si="19"/>
        <v>Jack Rosser</v>
      </c>
      <c r="I334" s="353">
        <f t="shared" si="20"/>
        <v>1329</v>
      </c>
      <c r="J334" s="353">
        <f t="shared" si="21"/>
        <v>37553</v>
      </c>
    </row>
    <row r="335" spans="1:10" x14ac:dyDescent="0.2">
      <c r="A335" s="207">
        <v>1330</v>
      </c>
      <c r="B335" s="207" t="s">
        <v>861</v>
      </c>
      <c r="C335" s="207" t="s">
        <v>70</v>
      </c>
      <c r="D335" s="207" t="s">
        <v>854</v>
      </c>
      <c r="E335" s="281">
        <v>0</v>
      </c>
      <c r="F335" s="281" t="s">
        <v>35</v>
      </c>
      <c r="G335" s="282">
        <v>37169</v>
      </c>
      <c r="H335" s="351" t="str">
        <f t="shared" si="19"/>
        <v>Jasmin Smith</v>
      </c>
      <c r="I335" s="353">
        <f t="shared" si="20"/>
        <v>1330</v>
      </c>
      <c r="J335" s="353">
        <f t="shared" si="21"/>
        <v>37169</v>
      </c>
    </row>
    <row r="336" spans="1:10" x14ac:dyDescent="0.2">
      <c r="A336" s="207">
        <v>1331</v>
      </c>
      <c r="B336" s="207" t="s">
        <v>117</v>
      </c>
      <c r="C336" s="207" t="s">
        <v>1170</v>
      </c>
      <c r="D336" s="207" t="s">
        <v>854</v>
      </c>
      <c r="E336" s="281">
        <v>0</v>
      </c>
      <c r="F336" s="281"/>
      <c r="G336" s="282">
        <v>36748</v>
      </c>
      <c r="H336" s="351" t="str">
        <f t="shared" si="19"/>
        <v>Chris Stone</v>
      </c>
      <c r="I336" s="353">
        <f t="shared" si="20"/>
        <v>1331</v>
      </c>
      <c r="J336" s="353">
        <f t="shared" si="21"/>
        <v>36748</v>
      </c>
    </row>
    <row r="337" spans="1:10" x14ac:dyDescent="0.2">
      <c r="A337" s="207">
        <v>1332</v>
      </c>
      <c r="B337" s="207" t="s">
        <v>858</v>
      </c>
      <c r="C337" s="207" t="s">
        <v>859</v>
      </c>
      <c r="D337" s="207" t="s">
        <v>854</v>
      </c>
      <c r="E337" s="281">
        <v>0</v>
      </c>
      <c r="F337" s="281"/>
      <c r="G337" s="282">
        <v>37561</v>
      </c>
      <c r="H337" s="351" t="str">
        <f t="shared" si="19"/>
        <v>Hayden Street</v>
      </c>
      <c r="I337" s="353">
        <f t="shared" si="20"/>
        <v>1332</v>
      </c>
      <c r="J337" s="353">
        <f t="shared" si="21"/>
        <v>37561</v>
      </c>
    </row>
    <row r="338" spans="1:10" x14ac:dyDescent="0.2">
      <c r="A338" s="207">
        <v>1333</v>
      </c>
      <c r="B338" s="207" t="s">
        <v>864</v>
      </c>
      <c r="C338" s="207" t="s">
        <v>859</v>
      </c>
      <c r="D338" s="207" t="s">
        <v>854</v>
      </c>
      <c r="E338" s="281">
        <v>630683</v>
      </c>
      <c r="F338" s="281"/>
      <c r="G338" s="282"/>
      <c r="H338" s="351" t="str">
        <f t="shared" si="19"/>
        <v>Justin Street</v>
      </c>
      <c r="I338" s="353">
        <f t="shared" si="20"/>
        <v>1333</v>
      </c>
      <c r="J338" s="353">
        <f t="shared" si="21"/>
        <v>0</v>
      </c>
    </row>
    <row r="339" spans="1:10" x14ac:dyDescent="0.2">
      <c r="A339" s="207">
        <v>1334</v>
      </c>
      <c r="B339" s="207" t="s">
        <v>529</v>
      </c>
      <c r="C339" s="207" t="s">
        <v>1171</v>
      </c>
      <c r="D339" s="207" t="s">
        <v>854</v>
      </c>
      <c r="E339" s="281">
        <v>0</v>
      </c>
      <c r="F339" s="281"/>
      <c r="G339" s="282">
        <v>38200</v>
      </c>
      <c r="H339" s="351" t="str">
        <f t="shared" si="19"/>
        <v>Ethan Wong</v>
      </c>
      <c r="I339" s="353">
        <f t="shared" si="20"/>
        <v>1334</v>
      </c>
      <c r="J339" s="353">
        <f t="shared" si="21"/>
        <v>38200</v>
      </c>
    </row>
    <row r="340" spans="1:10" x14ac:dyDescent="0.2">
      <c r="A340" s="207">
        <v>1335</v>
      </c>
      <c r="B340" s="207" t="s">
        <v>552</v>
      </c>
      <c r="C340" s="207" t="s">
        <v>1172</v>
      </c>
      <c r="D340" s="207" t="s">
        <v>905</v>
      </c>
      <c r="E340" s="281">
        <v>0</v>
      </c>
      <c r="F340" s="281"/>
      <c r="G340" s="282">
        <v>37134</v>
      </c>
      <c r="H340" s="351" t="str">
        <f t="shared" si="19"/>
        <v>Morten Van der Schee</v>
      </c>
      <c r="I340" s="353">
        <f t="shared" si="20"/>
        <v>1335</v>
      </c>
      <c r="J340" s="353">
        <f t="shared" si="21"/>
        <v>37134</v>
      </c>
    </row>
    <row r="341" spans="1:10" x14ac:dyDescent="0.2">
      <c r="A341" s="207">
        <v>1336</v>
      </c>
      <c r="B341" s="207" t="s">
        <v>66</v>
      </c>
      <c r="C341" s="207" t="s">
        <v>1173</v>
      </c>
      <c r="D341" s="207" t="s">
        <v>1174</v>
      </c>
      <c r="E341" s="281">
        <v>928639</v>
      </c>
      <c r="F341" s="281"/>
      <c r="G341" s="282">
        <v>33544</v>
      </c>
      <c r="H341" s="351" t="str">
        <f t="shared" si="19"/>
        <v>Matthew Thomas-Evans</v>
      </c>
      <c r="I341" s="353">
        <f t="shared" si="20"/>
        <v>1336</v>
      </c>
      <c r="J341" s="353">
        <f t="shared" si="21"/>
        <v>33544</v>
      </c>
    </row>
    <row r="342" spans="1:10" x14ac:dyDescent="0.2">
      <c r="A342" s="207">
        <v>1337</v>
      </c>
      <c r="B342" s="207" t="s">
        <v>102</v>
      </c>
      <c r="C342" s="207" t="s">
        <v>1175</v>
      </c>
      <c r="D342" s="207" t="s">
        <v>1174</v>
      </c>
      <c r="E342" s="281">
        <v>0</v>
      </c>
      <c r="F342" s="281" t="s">
        <v>35</v>
      </c>
      <c r="G342" s="282">
        <v>37796</v>
      </c>
      <c r="H342" s="351" t="str">
        <f t="shared" si="19"/>
        <v>Amy Dungey</v>
      </c>
      <c r="I342" s="353">
        <f t="shared" si="20"/>
        <v>1337</v>
      </c>
      <c r="J342" s="353">
        <f t="shared" si="21"/>
        <v>37796</v>
      </c>
    </row>
    <row r="343" spans="1:10" x14ac:dyDescent="0.2">
      <c r="A343" s="207">
        <v>1338</v>
      </c>
      <c r="B343" s="207" t="s">
        <v>1176</v>
      </c>
      <c r="C343" s="207" t="s">
        <v>801</v>
      </c>
      <c r="D343" s="207" t="s">
        <v>1174</v>
      </c>
      <c r="E343" s="281">
        <v>776799</v>
      </c>
      <c r="F343" s="281"/>
      <c r="G343" s="282">
        <v>28588</v>
      </c>
      <c r="H343" s="351" t="str">
        <f t="shared" si="19"/>
        <v>Kelvin Blake</v>
      </c>
      <c r="I343" s="353">
        <f t="shared" si="20"/>
        <v>1338</v>
      </c>
      <c r="J343" s="353">
        <f t="shared" si="21"/>
        <v>28588</v>
      </c>
    </row>
    <row r="344" spans="1:10" x14ac:dyDescent="0.2">
      <c r="A344" s="207">
        <v>1339</v>
      </c>
      <c r="B344" s="207" t="s">
        <v>945</v>
      </c>
      <c r="C344" s="207" t="s">
        <v>1177</v>
      </c>
      <c r="D344" s="207" t="s">
        <v>1174</v>
      </c>
      <c r="E344" s="281">
        <v>0</v>
      </c>
      <c r="F344" s="281" t="s">
        <v>35</v>
      </c>
      <c r="G344" s="282">
        <v>37936</v>
      </c>
      <c r="H344" s="351" t="str">
        <f t="shared" si="19"/>
        <v>Cerys Borge</v>
      </c>
      <c r="I344" s="353">
        <f t="shared" si="20"/>
        <v>1339</v>
      </c>
      <c r="J344" s="353">
        <f t="shared" si="21"/>
        <v>37936</v>
      </c>
    </row>
    <row r="345" spans="1:10" x14ac:dyDescent="0.2">
      <c r="A345" s="207">
        <v>1340</v>
      </c>
      <c r="B345" s="207" t="s">
        <v>1178</v>
      </c>
      <c r="C345" s="207" t="s">
        <v>1179</v>
      </c>
      <c r="D345" s="207" t="s">
        <v>1174</v>
      </c>
      <c r="E345" s="281">
        <v>0</v>
      </c>
      <c r="F345" s="281"/>
      <c r="G345" s="282">
        <v>38082</v>
      </c>
      <c r="H345" s="351" t="str">
        <f t="shared" si="19"/>
        <v>Louie Dudley</v>
      </c>
      <c r="I345" s="353">
        <f t="shared" si="20"/>
        <v>1340</v>
      </c>
      <c r="J345" s="353">
        <f t="shared" si="21"/>
        <v>38082</v>
      </c>
    </row>
    <row r="346" spans="1:10" x14ac:dyDescent="0.2">
      <c r="A346" s="207">
        <v>1341</v>
      </c>
      <c r="B346" s="207" t="s">
        <v>102</v>
      </c>
      <c r="C346" s="207" t="s">
        <v>801</v>
      </c>
      <c r="D346" s="207" t="s">
        <v>1174</v>
      </c>
      <c r="E346" s="281">
        <v>0</v>
      </c>
      <c r="F346" s="281" t="s">
        <v>35</v>
      </c>
      <c r="G346" s="282">
        <v>37821</v>
      </c>
      <c r="H346" s="351" t="str">
        <f t="shared" si="19"/>
        <v>Amy Blake</v>
      </c>
      <c r="I346" s="353">
        <f t="shared" si="20"/>
        <v>1341</v>
      </c>
      <c r="J346" s="353">
        <f t="shared" si="21"/>
        <v>37821</v>
      </c>
    </row>
    <row r="347" spans="1:10" x14ac:dyDescent="0.2">
      <c r="A347" s="207">
        <v>1342</v>
      </c>
      <c r="B347" s="207" t="s">
        <v>191</v>
      </c>
      <c r="C347" s="207" t="s">
        <v>1180</v>
      </c>
      <c r="D347" s="207" t="s">
        <v>1174</v>
      </c>
      <c r="E347" s="281">
        <v>0</v>
      </c>
      <c r="F347" s="281" t="s">
        <v>35</v>
      </c>
      <c r="G347" s="282">
        <v>38104</v>
      </c>
      <c r="H347" s="351" t="str">
        <f t="shared" si="19"/>
        <v>Olivia Farrel</v>
      </c>
      <c r="I347" s="353">
        <f t="shared" si="20"/>
        <v>1342</v>
      </c>
      <c r="J347" s="353">
        <f t="shared" si="21"/>
        <v>38104</v>
      </c>
    </row>
    <row r="348" spans="1:10" x14ac:dyDescent="0.2">
      <c r="A348" s="207">
        <v>1343</v>
      </c>
      <c r="B348" s="207" t="s">
        <v>1181</v>
      </c>
      <c r="C348" s="207" t="s">
        <v>1182</v>
      </c>
      <c r="D348" s="207" t="s">
        <v>1174</v>
      </c>
      <c r="E348" s="281">
        <v>0</v>
      </c>
      <c r="F348" s="281"/>
      <c r="G348" s="282">
        <v>37863</v>
      </c>
      <c r="H348" s="351" t="str">
        <f t="shared" si="19"/>
        <v>Llio Kingsley</v>
      </c>
      <c r="I348" s="353">
        <f t="shared" si="20"/>
        <v>1343</v>
      </c>
      <c r="J348" s="353">
        <f t="shared" si="21"/>
        <v>37863</v>
      </c>
    </row>
    <row r="349" spans="1:10" x14ac:dyDescent="0.2">
      <c r="A349" s="207">
        <v>1344</v>
      </c>
      <c r="B349" s="207" t="s">
        <v>64</v>
      </c>
      <c r="C349" s="207" t="s">
        <v>1183</v>
      </c>
      <c r="D349" s="207" t="s">
        <v>1174</v>
      </c>
      <c r="E349" s="281">
        <v>11959743</v>
      </c>
      <c r="F349" s="281"/>
      <c r="G349" s="282">
        <v>29260</v>
      </c>
      <c r="H349" s="351" t="str">
        <f t="shared" si="19"/>
        <v>Richard Nowell</v>
      </c>
      <c r="I349" s="353">
        <f t="shared" si="20"/>
        <v>1344</v>
      </c>
      <c r="J349" s="353">
        <f t="shared" si="21"/>
        <v>29260</v>
      </c>
    </row>
    <row r="350" spans="1:10" x14ac:dyDescent="0.2">
      <c r="A350" s="207">
        <v>1345</v>
      </c>
      <c r="B350" s="207" t="s">
        <v>54</v>
      </c>
      <c r="C350" s="207" t="s">
        <v>1184</v>
      </c>
      <c r="D350" s="207" t="s">
        <v>1174</v>
      </c>
      <c r="E350" s="281">
        <v>0</v>
      </c>
      <c r="F350" s="281"/>
      <c r="G350" s="282">
        <v>37889</v>
      </c>
      <c r="H350" s="351" t="str">
        <f t="shared" si="19"/>
        <v>Joseph Richmond</v>
      </c>
      <c r="I350" s="353">
        <f t="shared" si="20"/>
        <v>1345</v>
      </c>
      <c r="J350" s="353">
        <f t="shared" si="21"/>
        <v>37889</v>
      </c>
    </row>
    <row r="351" spans="1:10" x14ac:dyDescent="0.2">
      <c r="A351" s="207">
        <v>1346</v>
      </c>
      <c r="B351" s="207" t="s">
        <v>1185</v>
      </c>
      <c r="C351" s="207" t="s">
        <v>70</v>
      </c>
      <c r="D351" s="207" t="s">
        <v>1174</v>
      </c>
      <c r="E351" s="281">
        <v>0</v>
      </c>
      <c r="F351" s="281" t="s">
        <v>35</v>
      </c>
      <c r="G351" s="282">
        <v>38144</v>
      </c>
      <c r="H351" s="351" t="str">
        <f t="shared" si="19"/>
        <v>Catrin Smith</v>
      </c>
      <c r="I351" s="353">
        <f t="shared" si="20"/>
        <v>1346</v>
      </c>
      <c r="J351" s="353">
        <f t="shared" si="21"/>
        <v>38144</v>
      </c>
    </row>
    <row r="352" spans="1:10" x14ac:dyDescent="0.2">
      <c r="A352" s="207">
        <v>1347</v>
      </c>
      <c r="B352" s="207" t="s">
        <v>655</v>
      </c>
      <c r="C352" s="207" t="s">
        <v>1186</v>
      </c>
      <c r="D352" s="207" t="s">
        <v>1174</v>
      </c>
      <c r="E352" s="281">
        <v>925705</v>
      </c>
      <c r="F352" s="281" t="s">
        <v>35</v>
      </c>
      <c r="G352" s="282">
        <v>33926</v>
      </c>
      <c r="H352" s="351" t="str">
        <f t="shared" si="19"/>
        <v>Rebecca Stillman</v>
      </c>
      <c r="I352" s="353">
        <f t="shared" si="20"/>
        <v>1347</v>
      </c>
      <c r="J352" s="353">
        <f t="shared" si="21"/>
        <v>33926</v>
      </c>
    </row>
    <row r="353" spans="1:10" x14ac:dyDescent="0.2">
      <c r="A353" s="207">
        <v>1348</v>
      </c>
      <c r="B353" s="207" t="s">
        <v>132</v>
      </c>
      <c r="C353" s="207" t="s">
        <v>96</v>
      </c>
      <c r="D353" s="207" t="s">
        <v>1174</v>
      </c>
      <c r="E353" s="281">
        <v>0</v>
      </c>
      <c r="F353" s="281" t="s">
        <v>35</v>
      </c>
      <c r="G353" s="282">
        <v>37638</v>
      </c>
      <c r="H353" s="351" t="str">
        <f t="shared" si="19"/>
        <v>Sophie Thomas</v>
      </c>
      <c r="I353" s="353">
        <f t="shared" si="20"/>
        <v>1348</v>
      </c>
      <c r="J353" s="353">
        <f t="shared" si="21"/>
        <v>37638</v>
      </c>
    </row>
    <row r="354" spans="1:10" x14ac:dyDescent="0.2">
      <c r="A354" s="207">
        <v>1349</v>
      </c>
      <c r="B354" s="207" t="s">
        <v>1187</v>
      </c>
      <c r="C354" s="207" t="s">
        <v>951</v>
      </c>
      <c r="D354" s="207" t="s">
        <v>1188</v>
      </c>
      <c r="E354" s="281">
        <v>0</v>
      </c>
      <c r="F354" s="281"/>
      <c r="G354" s="282">
        <v>36863</v>
      </c>
      <c r="H354" s="351" t="str">
        <f t="shared" si="19"/>
        <v>Tobias Edwards Rean</v>
      </c>
      <c r="I354" s="353">
        <f t="shared" si="20"/>
        <v>1349</v>
      </c>
      <c r="J354" s="353">
        <f t="shared" si="21"/>
        <v>36863</v>
      </c>
    </row>
    <row r="355" spans="1:10" x14ac:dyDescent="0.2">
      <c r="A355" s="207">
        <v>1350</v>
      </c>
      <c r="B355" s="207" t="s">
        <v>54</v>
      </c>
      <c r="C355" s="207" t="s">
        <v>761</v>
      </c>
      <c r="D355" s="207" t="s">
        <v>701</v>
      </c>
      <c r="E355" s="281">
        <v>0</v>
      </c>
      <c r="F355" s="281"/>
      <c r="G355" s="282">
        <v>37416</v>
      </c>
      <c r="H355" s="351" t="str">
        <f t="shared" si="19"/>
        <v>Joseph Baker</v>
      </c>
      <c r="I355" s="353">
        <f t="shared" si="20"/>
        <v>1350</v>
      </c>
      <c r="J355" s="353">
        <f t="shared" si="21"/>
        <v>37416</v>
      </c>
    </row>
    <row r="356" spans="1:10" x14ac:dyDescent="0.2">
      <c r="A356" s="207">
        <v>1351</v>
      </c>
      <c r="B356" s="207" t="s">
        <v>59</v>
      </c>
      <c r="C356" s="207" t="s">
        <v>138</v>
      </c>
      <c r="D356" s="207" t="s">
        <v>701</v>
      </c>
      <c r="E356" s="281">
        <v>467734</v>
      </c>
      <c r="F356" s="281"/>
      <c r="G356" s="282">
        <v>21781</v>
      </c>
      <c r="H356" s="351" t="str">
        <f t="shared" si="19"/>
        <v>Andrew Brookes</v>
      </c>
      <c r="I356" s="353">
        <f t="shared" si="20"/>
        <v>1351</v>
      </c>
      <c r="J356" s="353">
        <f t="shared" si="21"/>
        <v>21781</v>
      </c>
    </row>
    <row r="357" spans="1:10" x14ac:dyDescent="0.2">
      <c r="A357" s="207">
        <v>1352</v>
      </c>
      <c r="B357" s="207" t="s">
        <v>133</v>
      </c>
      <c r="C357" s="207" t="s">
        <v>193</v>
      </c>
      <c r="D357" s="207" t="s">
        <v>701</v>
      </c>
      <c r="E357" s="281">
        <v>11955531</v>
      </c>
      <c r="F357" s="281"/>
      <c r="G357" s="282">
        <v>35935</v>
      </c>
      <c r="H357" s="351" t="str">
        <f t="shared" si="19"/>
        <v>Adam Coleman</v>
      </c>
      <c r="I357" s="353">
        <f t="shared" si="20"/>
        <v>1352</v>
      </c>
      <c r="J357" s="353">
        <f t="shared" si="21"/>
        <v>35935</v>
      </c>
    </row>
    <row r="358" spans="1:10" x14ac:dyDescent="0.2">
      <c r="A358" s="207">
        <v>1353</v>
      </c>
      <c r="B358" s="207" t="s">
        <v>728</v>
      </c>
      <c r="C358" s="207" t="s">
        <v>177</v>
      </c>
      <c r="D358" s="207" t="s">
        <v>701</v>
      </c>
      <c r="E358" s="281">
        <v>0</v>
      </c>
      <c r="F358" s="281" t="s">
        <v>35</v>
      </c>
      <c r="G358" s="282">
        <v>36728</v>
      </c>
      <c r="H358" s="351" t="str">
        <f t="shared" si="19"/>
        <v>Bethany Edwards</v>
      </c>
      <c r="I358" s="353">
        <f t="shared" si="20"/>
        <v>1353</v>
      </c>
      <c r="J358" s="353">
        <f t="shared" si="21"/>
        <v>36728</v>
      </c>
    </row>
    <row r="359" spans="1:10" x14ac:dyDescent="0.2">
      <c r="A359" s="207">
        <v>1354</v>
      </c>
      <c r="B359" s="207" t="s">
        <v>103</v>
      </c>
      <c r="C359" s="207" t="s">
        <v>118</v>
      </c>
      <c r="D359" s="207" t="s">
        <v>701</v>
      </c>
      <c r="E359" s="281">
        <v>0</v>
      </c>
      <c r="F359" s="281"/>
      <c r="G359" s="282">
        <v>37216</v>
      </c>
      <c r="H359" s="351" t="str">
        <f t="shared" si="19"/>
        <v>Nathan Mitchell</v>
      </c>
      <c r="I359" s="353">
        <f t="shared" si="20"/>
        <v>1354</v>
      </c>
      <c r="J359" s="353">
        <f t="shared" si="21"/>
        <v>37216</v>
      </c>
    </row>
    <row r="360" spans="1:10" x14ac:dyDescent="0.2">
      <c r="A360" s="207">
        <v>1355</v>
      </c>
      <c r="B360" s="207" t="s">
        <v>727</v>
      </c>
      <c r="C360" s="207" t="s">
        <v>136</v>
      </c>
      <c r="D360" s="207" t="s">
        <v>701</v>
      </c>
      <c r="E360" s="281">
        <v>209558</v>
      </c>
      <c r="F360" s="281" t="s">
        <v>35</v>
      </c>
      <c r="G360" s="282">
        <v>20298</v>
      </c>
      <c r="H360" s="351" t="str">
        <f t="shared" si="19"/>
        <v>Ingrid Shaw</v>
      </c>
      <c r="I360" s="353">
        <f t="shared" si="20"/>
        <v>1355</v>
      </c>
      <c r="J360" s="353">
        <f t="shared" si="21"/>
        <v>20298</v>
      </c>
    </row>
    <row r="361" spans="1:10" x14ac:dyDescent="0.2">
      <c r="A361" s="207">
        <v>1356</v>
      </c>
      <c r="B361" s="207" t="s">
        <v>106</v>
      </c>
      <c r="C361" s="207" t="s">
        <v>724</v>
      </c>
      <c r="D361" s="207" t="s">
        <v>701</v>
      </c>
      <c r="E361" s="281">
        <v>0</v>
      </c>
      <c r="F361" s="281"/>
      <c r="G361" s="282">
        <v>37526</v>
      </c>
      <c r="H361" s="351" t="str">
        <f t="shared" si="19"/>
        <v>Harry Vincent</v>
      </c>
      <c r="I361" s="353">
        <f t="shared" si="20"/>
        <v>1356</v>
      </c>
      <c r="J361" s="353">
        <f t="shared" si="21"/>
        <v>37526</v>
      </c>
    </row>
    <row r="362" spans="1:10" x14ac:dyDescent="0.2">
      <c r="A362" s="207">
        <v>1357</v>
      </c>
      <c r="B362" s="207" t="s">
        <v>196</v>
      </c>
      <c r="C362" s="207" t="s">
        <v>627</v>
      </c>
      <c r="D362" s="207" t="s">
        <v>701</v>
      </c>
      <c r="E362" s="281">
        <v>0</v>
      </c>
      <c r="F362" s="281"/>
      <c r="G362" s="282">
        <v>36760</v>
      </c>
      <c r="H362" s="351" t="str">
        <f t="shared" si="19"/>
        <v>Dominic Woolley</v>
      </c>
      <c r="I362" s="353">
        <f t="shared" si="20"/>
        <v>1357</v>
      </c>
      <c r="J362" s="353">
        <f t="shared" si="21"/>
        <v>36760</v>
      </c>
    </row>
    <row r="363" spans="1:10" x14ac:dyDescent="0.2">
      <c r="A363" s="207">
        <v>1358</v>
      </c>
      <c r="B363" s="207" t="s">
        <v>1189</v>
      </c>
      <c r="C363" s="207" t="s">
        <v>1190</v>
      </c>
      <c r="D363" s="207" t="s">
        <v>955</v>
      </c>
      <c r="E363" s="281">
        <v>0</v>
      </c>
      <c r="F363" s="281" t="s">
        <v>35</v>
      </c>
      <c r="G363" s="282">
        <v>37810</v>
      </c>
      <c r="H363" s="351" t="str">
        <f t="shared" si="19"/>
        <v>Niamh Baxter</v>
      </c>
      <c r="I363" s="353">
        <f t="shared" si="20"/>
        <v>1358</v>
      </c>
      <c r="J363" s="353">
        <f t="shared" si="21"/>
        <v>37810</v>
      </c>
    </row>
    <row r="364" spans="1:10" x14ac:dyDescent="0.2">
      <c r="A364" s="207">
        <v>1359</v>
      </c>
      <c r="B364" s="207" t="s">
        <v>651</v>
      </c>
      <c r="C364" s="207" t="s">
        <v>954</v>
      </c>
      <c r="D364" s="207" t="s">
        <v>955</v>
      </c>
      <c r="E364" s="281">
        <v>0</v>
      </c>
      <c r="F364" s="281" t="s">
        <v>35</v>
      </c>
      <c r="G364" s="282">
        <v>38309</v>
      </c>
      <c r="H364" s="351" t="str">
        <f t="shared" si="19"/>
        <v>Jess Birtwistle</v>
      </c>
      <c r="I364" s="353">
        <f t="shared" si="20"/>
        <v>1359</v>
      </c>
      <c r="J364" s="353">
        <f t="shared" si="21"/>
        <v>38309</v>
      </c>
    </row>
    <row r="365" spans="1:10" x14ac:dyDescent="0.2">
      <c r="A365" s="207">
        <v>1360</v>
      </c>
      <c r="B365" s="207" t="s">
        <v>160</v>
      </c>
      <c r="C365" s="207" t="s">
        <v>954</v>
      </c>
      <c r="D365" s="207" t="s">
        <v>955</v>
      </c>
      <c r="E365" s="281">
        <v>0</v>
      </c>
      <c r="F365" s="281" t="s">
        <v>35</v>
      </c>
      <c r="G365" s="282">
        <v>37715</v>
      </c>
      <c r="H365" s="351" t="str">
        <f t="shared" si="19"/>
        <v>Megan Birtwistle</v>
      </c>
      <c r="I365" s="353">
        <f t="shared" si="20"/>
        <v>1360</v>
      </c>
      <c r="J365" s="353">
        <f t="shared" si="21"/>
        <v>37715</v>
      </c>
    </row>
    <row r="366" spans="1:10" x14ac:dyDescent="0.2">
      <c r="A366" s="207">
        <v>1361</v>
      </c>
      <c r="B366" s="207" t="s">
        <v>99</v>
      </c>
      <c r="C366" s="207" t="s">
        <v>954</v>
      </c>
      <c r="D366" s="207" t="s">
        <v>955</v>
      </c>
      <c r="E366" s="281">
        <v>0</v>
      </c>
      <c r="F366" s="281"/>
      <c r="G366" s="282">
        <v>37715</v>
      </c>
      <c r="H366" s="351" t="str">
        <f t="shared" si="19"/>
        <v>Oliver Birtwistle</v>
      </c>
      <c r="I366" s="353">
        <f t="shared" si="20"/>
        <v>1361</v>
      </c>
      <c r="J366" s="353">
        <f t="shared" si="21"/>
        <v>37715</v>
      </c>
    </row>
    <row r="367" spans="1:10" x14ac:dyDescent="0.2">
      <c r="A367" s="207">
        <v>1362</v>
      </c>
      <c r="B367" s="207" t="s">
        <v>488</v>
      </c>
      <c r="C367" s="207" t="s">
        <v>162</v>
      </c>
      <c r="D367" s="207" t="s">
        <v>955</v>
      </c>
      <c r="E367" s="281">
        <v>154184</v>
      </c>
      <c r="F367" s="281"/>
      <c r="G367" s="282">
        <v>23456</v>
      </c>
      <c r="H367" s="351" t="str">
        <f t="shared" si="19"/>
        <v>Ray Johnston</v>
      </c>
      <c r="I367" s="353">
        <f t="shared" si="20"/>
        <v>1362</v>
      </c>
      <c r="J367" s="353">
        <f t="shared" si="21"/>
        <v>23456</v>
      </c>
    </row>
    <row r="368" spans="1:10" x14ac:dyDescent="0.2">
      <c r="A368" s="207">
        <v>1363</v>
      </c>
      <c r="B368" s="207" t="s">
        <v>226</v>
      </c>
      <c r="C368" s="207" t="s">
        <v>956</v>
      </c>
      <c r="D368" s="207" t="s">
        <v>955</v>
      </c>
      <c r="E368" s="281">
        <v>0</v>
      </c>
      <c r="F368" s="281" t="s">
        <v>35</v>
      </c>
      <c r="G368" s="282">
        <v>38254</v>
      </c>
      <c r="H368" s="351" t="str">
        <f t="shared" si="19"/>
        <v>Lucy Ollier</v>
      </c>
      <c r="I368" s="353">
        <f t="shared" si="20"/>
        <v>1363</v>
      </c>
      <c r="J368" s="353">
        <f t="shared" si="21"/>
        <v>38254</v>
      </c>
    </row>
    <row r="369" spans="1:10" x14ac:dyDescent="0.2">
      <c r="A369" s="207">
        <v>1364</v>
      </c>
      <c r="B369" s="207" t="s">
        <v>66</v>
      </c>
      <c r="C369" s="207" t="s">
        <v>55</v>
      </c>
      <c r="D369" s="207" t="s">
        <v>955</v>
      </c>
      <c r="E369" s="281">
        <v>0</v>
      </c>
      <c r="F369" s="281"/>
      <c r="G369" s="282">
        <v>37686</v>
      </c>
      <c r="H369" s="351" t="str">
        <f t="shared" si="19"/>
        <v>Matthew Sutton</v>
      </c>
      <c r="I369" s="353">
        <f t="shared" si="20"/>
        <v>1364</v>
      </c>
      <c r="J369" s="353">
        <f t="shared" si="21"/>
        <v>37686</v>
      </c>
    </row>
    <row r="370" spans="1:10" x14ac:dyDescent="0.2">
      <c r="A370" s="207">
        <v>1365</v>
      </c>
      <c r="B370" s="207" t="s">
        <v>1191</v>
      </c>
      <c r="C370" s="207" t="s">
        <v>1192</v>
      </c>
      <c r="D370" s="207" t="s">
        <v>1193</v>
      </c>
      <c r="E370" s="281">
        <v>0</v>
      </c>
      <c r="F370" s="281"/>
      <c r="G370" s="282">
        <v>38510</v>
      </c>
      <c r="H370" s="351" t="str">
        <f t="shared" si="19"/>
        <v>Ted Mottram</v>
      </c>
      <c r="I370" s="353">
        <f t="shared" si="20"/>
        <v>1365</v>
      </c>
      <c r="J370" s="353">
        <f t="shared" si="21"/>
        <v>38510</v>
      </c>
    </row>
    <row r="371" spans="1:10" x14ac:dyDescent="0.2">
      <c r="A371" s="207">
        <v>1366</v>
      </c>
      <c r="B371" s="207" t="s">
        <v>79</v>
      </c>
      <c r="C371" s="207" t="s">
        <v>957</v>
      </c>
      <c r="D371" s="207" t="s">
        <v>958</v>
      </c>
      <c r="E371" s="281">
        <v>0</v>
      </c>
      <c r="F371" s="281"/>
      <c r="G371" s="282">
        <v>37893</v>
      </c>
      <c r="H371" s="351" t="str">
        <f t="shared" si="19"/>
        <v>Robert Emeny</v>
      </c>
      <c r="I371" s="353">
        <f t="shared" si="20"/>
        <v>1366</v>
      </c>
      <c r="J371" s="353">
        <f t="shared" si="21"/>
        <v>37893</v>
      </c>
    </row>
    <row r="372" spans="1:10" x14ac:dyDescent="0.2">
      <c r="A372" s="207">
        <v>1367</v>
      </c>
      <c r="B372" s="207" t="s">
        <v>84</v>
      </c>
      <c r="C372" s="207" t="s">
        <v>1194</v>
      </c>
      <c r="D372" s="207" t="s">
        <v>1195</v>
      </c>
      <c r="E372" s="281">
        <v>0</v>
      </c>
      <c r="F372" s="281"/>
      <c r="G372" s="282">
        <v>38871</v>
      </c>
      <c r="H372" s="351" t="str">
        <f t="shared" si="19"/>
        <v>Sam Booth</v>
      </c>
      <c r="I372" s="353">
        <f t="shared" si="20"/>
        <v>1367</v>
      </c>
      <c r="J372" s="353">
        <f t="shared" si="21"/>
        <v>38871</v>
      </c>
    </row>
    <row r="373" spans="1:10" x14ac:dyDescent="0.2">
      <c r="A373" s="207">
        <v>1368</v>
      </c>
      <c r="B373" s="207" t="s">
        <v>572</v>
      </c>
      <c r="C373" s="207" t="s">
        <v>926</v>
      </c>
      <c r="D373" s="207" t="s">
        <v>959</v>
      </c>
      <c r="E373" s="281">
        <v>0</v>
      </c>
      <c r="F373" s="281"/>
      <c r="G373" s="282">
        <v>38336</v>
      </c>
      <c r="H373" s="351" t="str">
        <f t="shared" si="19"/>
        <v>Morgan Chapman</v>
      </c>
      <c r="I373" s="353">
        <f t="shared" si="20"/>
        <v>1368</v>
      </c>
      <c r="J373" s="353">
        <f t="shared" si="21"/>
        <v>38336</v>
      </c>
    </row>
    <row r="374" spans="1:10" x14ac:dyDescent="0.2">
      <c r="A374" s="207">
        <v>1369</v>
      </c>
      <c r="B374" s="207" t="s">
        <v>179</v>
      </c>
      <c r="C374" s="207" t="s">
        <v>668</v>
      </c>
      <c r="D374" s="207" t="s">
        <v>959</v>
      </c>
      <c r="E374" s="281">
        <v>0</v>
      </c>
      <c r="F374" s="281"/>
      <c r="G374" s="282">
        <v>37829</v>
      </c>
      <c r="H374" s="351" t="str">
        <f t="shared" si="19"/>
        <v>Jake Gallagher</v>
      </c>
      <c r="I374" s="353">
        <f t="shared" si="20"/>
        <v>1369</v>
      </c>
      <c r="J374" s="353">
        <f t="shared" si="21"/>
        <v>37829</v>
      </c>
    </row>
    <row r="375" spans="1:10" x14ac:dyDescent="0.2">
      <c r="A375" s="207">
        <v>1370</v>
      </c>
      <c r="B375" s="207" t="s">
        <v>69</v>
      </c>
      <c r="C375" s="207" t="s">
        <v>761</v>
      </c>
      <c r="D375" s="207" t="s">
        <v>959</v>
      </c>
      <c r="E375" s="281">
        <v>997602</v>
      </c>
      <c r="F375" s="281"/>
      <c r="G375" s="282"/>
      <c r="H375" s="351" t="str">
        <f t="shared" si="19"/>
        <v>David Baker</v>
      </c>
      <c r="I375" s="353">
        <f t="shared" si="20"/>
        <v>1370</v>
      </c>
      <c r="J375" s="353">
        <f t="shared" si="21"/>
        <v>0</v>
      </c>
    </row>
    <row r="376" spans="1:10" x14ac:dyDescent="0.2">
      <c r="A376" s="207">
        <v>1371</v>
      </c>
      <c r="B376" s="207" t="s">
        <v>104</v>
      </c>
      <c r="C376" s="207" t="s">
        <v>1196</v>
      </c>
      <c r="D376" s="207" t="s">
        <v>959</v>
      </c>
      <c r="E376" s="281">
        <v>0</v>
      </c>
      <c r="F376" s="281"/>
      <c r="G376" s="282">
        <v>38626</v>
      </c>
      <c r="H376" s="351" t="str">
        <f t="shared" si="19"/>
        <v>Ben Slinn</v>
      </c>
      <c r="I376" s="353">
        <f t="shared" si="20"/>
        <v>1371</v>
      </c>
      <c r="J376" s="353">
        <f t="shared" si="21"/>
        <v>38626</v>
      </c>
    </row>
    <row r="377" spans="1:10" x14ac:dyDescent="0.2">
      <c r="A377" s="207">
        <v>1372</v>
      </c>
      <c r="B377" s="207" t="s">
        <v>123</v>
      </c>
      <c r="C377" s="207" t="s">
        <v>1197</v>
      </c>
      <c r="D377" s="207" t="s">
        <v>725</v>
      </c>
      <c r="E377" s="281">
        <v>0</v>
      </c>
      <c r="F377" s="281"/>
      <c r="G377" s="282">
        <v>37695</v>
      </c>
      <c r="H377" s="351" t="str">
        <f t="shared" si="19"/>
        <v>Owen Hulme Davies</v>
      </c>
      <c r="I377" s="353">
        <f t="shared" si="20"/>
        <v>1372</v>
      </c>
      <c r="J377" s="353">
        <f t="shared" si="21"/>
        <v>37695</v>
      </c>
    </row>
    <row r="378" spans="1:10" x14ac:dyDescent="0.2">
      <c r="A378" s="207">
        <v>1373</v>
      </c>
      <c r="B378" s="207" t="s">
        <v>71</v>
      </c>
      <c r="C378" s="207" t="s">
        <v>162</v>
      </c>
      <c r="D378" s="207" t="s">
        <v>137</v>
      </c>
      <c r="E378" s="281">
        <v>11922043</v>
      </c>
      <c r="F378" s="281"/>
      <c r="G378" s="282">
        <v>35739</v>
      </c>
      <c r="H378" s="351" t="str">
        <f t="shared" si="19"/>
        <v>Dan Johnston</v>
      </c>
      <c r="I378" s="353">
        <f t="shared" si="20"/>
        <v>1373</v>
      </c>
      <c r="J378" s="353">
        <f t="shared" si="21"/>
        <v>35739</v>
      </c>
    </row>
    <row r="379" spans="1:10" x14ac:dyDescent="0.2">
      <c r="A379" s="207">
        <v>1374</v>
      </c>
      <c r="B379" s="207" t="s">
        <v>48</v>
      </c>
      <c r="C379" s="207" t="s">
        <v>960</v>
      </c>
      <c r="D379" s="207" t="s">
        <v>137</v>
      </c>
      <c r="E379" s="281">
        <v>0</v>
      </c>
      <c r="F379" s="281"/>
      <c r="G379" s="282">
        <v>36752</v>
      </c>
      <c r="H379" s="351" t="str">
        <f t="shared" si="19"/>
        <v>George Lyall-Brookes</v>
      </c>
      <c r="I379" s="353">
        <f t="shared" si="20"/>
        <v>1374</v>
      </c>
      <c r="J379" s="353">
        <f t="shared" si="21"/>
        <v>36752</v>
      </c>
    </row>
    <row r="380" spans="1:10" x14ac:dyDescent="0.2">
      <c r="A380" s="207">
        <v>1375</v>
      </c>
      <c r="B380" s="207" t="s">
        <v>49</v>
      </c>
      <c r="C380" s="207" t="s">
        <v>489</v>
      </c>
      <c r="D380" s="207" t="s">
        <v>137</v>
      </c>
      <c r="E380" s="281">
        <v>0</v>
      </c>
      <c r="F380" s="281"/>
      <c r="G380" s="282">
        <v>36176</v>
      </c>
      <c r="H380" s="351" t="str">
        <f t="shared" si="19"/>
        <v>James Morris</v>
      </c>
      <c r="I380" s="353">
        <f t="shared" si="20"/>
        <v>1375</v>
      </c>
      <c r="J380" s="353">
        <f t="shared" si="21"/>
        <v>36176</v>
      </c>
    </row>
    <row r="381" spans="1:10" x14ac:dyDescent="0.2">
      <c r="A381" s="207">
        <v>1376</v>
      </c>
      <c r="B381" s="207" t="s">
        <v>61</v>
      </c>
      <c r="C381" s="207" t="s">
        <v>702</v>
      </c>
      <c r="D381" s="207" t="s">
        <v>137</v>
      </c>
      <c r="E381" s="281">
        <v>842948</v>
      </c>
      <c r="F381" s="281"/>
      <c r="G381" s="282">
        <v>34337</v>
      </c>
      <c r="H381" s="351" t="str">
        <f t="shared" si="19"/>
        <v>Jonathan Oakes</v>
      </c>
      <c r="I381" s="353">
        <f t="shared" si="20"/>
        <v>1376</v>
      </c>
      <c r="J381" s="353">
        <f t="shared" si="21"/>
        <v>34337</v>
      </c>
    </row>
    <row r="382" spans="1:10" x14ac:dyDescent="0.2">
      <c r="A382" s="207">
        <v>1377</v>
      </c>
      <c r="B382" s="207" t="s">
        <v>46</v>
      </c>
      <c r="C382" s="207" t="s">
        <v>55</v>
      </c>
      <c r="D382" s="207" t="s">
        <v>137</v>
      </c>
      <c r="E382" s="281">
        <v>0</v>
      </c>
      <c r="F382" s="281"/>
      <c r="G382" s="282">
        <v>36295</v>
      </c>
      <c r="H382" s="351" t="str">
        <f t="shared" si="19"/>
        <v>Alex Sutton</v>
      </c>
      <c r="I382" s="353">
        <f t="shared" si="20"/>
        <v>1377</v>
      </c>
      <c r="J382" s="353">
        <f t="shared" si="21"/>
        <v>36295</v>
      </c>
    </row>
    <row r="383" spans="1:10" x14ac:dyDescent="0.2">
      <c r="A383" s="207">
        <v>1378</v>
      </c>
      <c r="B383" s="207" t="s">
        <v>176</v>
      </c>
      <c r="C383" s="207" t="s">
        <v>627</v>
      </c>
      <c r="D383" s="207" t="s">
        <v>137</v>
      </c>
      <c r="E383" s="281">
        <v>0</v>
      </c>
      <c r="F383" s="281"/>
      <c r="G383" s="282">
        <v>37434</v>
      </c>
      <c r="H383" s="351" t="str">
        <f t="shared" si="19"/>
        <v>Benjamin Woolley</v>
      </c>
      <c r="I383" s="353">
        <f t="shared" si="20"/>
        <v>1378</v>
      </c>
      <c r="J383" s="353">
        <f t="shared" si="21"/>
        <v>37434</v>
      </c>
    </row>
    <row r="384" spans="1:10" x14ac:dyDescent="0.2">
      <c r="A384" s="207">
        <v>1379</v>
      </c>
      <c r="B384" s="207" t="s">
        <v>79</v>
      </c>
      <c r="C384" s="207" t="s">
        <v>1198</v>
      </c>
      <c r="D384" s="207" t="s">
        <v>962</v>
      </c>
      <c r="E384" s="281">
        <v>0</v>
      </c>
      <c r="F384" s="281"/>
      <c r="G384" s="282">
        <v>37669</v>
      </c>
      <c r="H384" s="351" t="str">
        <f t="shared" si="19"/>
        <v>Robert Bickerton</v>
      </c>
      <c r="I384" s="353">
        <f t="shared" si="20"/>
        <v>1379</v>
      </c>
      <c r="J384" s="353">
        <f t="shared" si="21"/>
        <v>37669</v>
      </c>
    </row>
    <row r="385" spans="1:10" x14ac:dyDescent="0.2">
      <c r="A385" s="207">
        <v>1380</v>
      </c>
      <c r="B385" s="207" t="s">
        <v>1199</v>
      </c>
      <c r="C385" s="207" t="s">
        <v>963</v>
      </c>
      <c r="D385" s="207" t="s">
        <v>962</v>
      </c>
      <c r="E385" s="281">
        <v>543559</v>
      </c>
      <c r="F385" s="281"/>
      <c r="G385" s="282">
        <v>25701</v>
      </c>
      <c r="H385" s="351" t="str">
        <f t="shared" si="19"/>
        <v>Grattan Glendining</v>
      </c>
      <c r="I385" s="353">
        <f t="shared" si="20"/>
        <v>1380</v>
      </c>
      <c r="J385" s="353">
        <f t="shared" si="21"/>
        <v>25701</v>
      </c>
    </row>
    <row r="386" spans="1:10" x14ac:dyDescent="0.2">
      <c r="A386" s="207">
        <v>1381</v>
      </c>
      <c r="B386" s="207" t="s">
        <v>96</v>
      </c>
      <c r="C386" s="207" t="s">
        <v>963</v>
      </c>
      <c r="D386" s="207" t="s">
        <v>962</v>
      </c>
      <c r="E386" s="281">
        <v>0</v>
      </c>
      <c r="F386" s="281"/>
      <c r="G386" s="282">
        <v>38123</v>
      </c>
      <c r="H386" s="351" t="str">
        <f t="shared" si="19"/>
        <v>Thomas Glendining</v>
      </c>
      <c r="I386" s="353">
        <f t="shared" si="20"/>
        <v>1381</v>
      </c>
      <c r="J386" s="353">
        <f t="shared" si="21"/>
        <v>38123</v>
      </c>
    </row>
    <row r="387" spans="1:10" x14ac:dyDescent="0.2">
      <c r="A387" s="207">
        <v>1382</v>
      </c>
      <c r="B387" s="207" t="s">
        <v>768</v>
      </c>
      <c r="C387" s="207" t="s">
        <v>656</v>
      </c>
      <c r="D387" s="207" t="s">
        <v>962</v>
      </c>
      <c r="E387" s="281">
        <v>0</v>
      </c>
      <c r="F387" s="281" t="s">
        <v>35</v>
      </c>
      <c r="G387" s="282">
        <v>38455</v>
      </c>
      <c r="H387" s="351" t="str">
        <f t="shared" si="19"/>
        <v>Isobel Green</v>
      </c>
      <c r="I387" s="353">
        <f t="shared" si="20"/>
        <v>1382</v>
      </c>
      <c r="J387" s="353">
        <f t="shared" si="21"/>
        <v>38455</v>
      </c>
    </row>
    <row r="388" spans="1:10" x14ac:dyDescent="0.2">
      <c r="A388" s="207">
        <v>1383</v>
      </c>
      <c r="B388" s="207" t="s">
        <v>222</v>
      </c>
      <c r="C388" s="207" t="s">
        <v>172</v>
      </c>
      <c r="D388" s="207" t="s">
        <v>962</v>
      </c>
      <c r="E388" s="281">
        <v>565928</v>
      </c>
      <c r="F388" s="281"/>
      <c r="G388" s="282">
        <v>25867</v>
      </c>
      <c r="H388" s="351" t="str">
        <f t="shared" si="19"/>
        <v>Alan Jackson</v>
      </c>
      <c r="I388" s="353">
        <f t="shared" si="20"/>
        <v>1383</v>
      </c>
      <c r="J388" s="353">
        <f t="shared" si="21"/>
        <v>25867</v>
      </c>
    </row>
    <row r="389" spans="1:10" x14ac:dyDescent="0.2">
      <c r="A389" s="207">
        <v>1384</v>
      </c>
      <c r="B389" s="207" t="s">
        <v>62</v>
      </c>
      <c r="C389" s="207" t="s">
        <v>76</v>
      </c>
      <c r="D389" s="207" t="s">
        <v>962</v>
      </c>
      <c r="E389" s="281">
        <v>0</v>
      </c>
      <c r="F389" s="281"/>
      <c r="G389" s="282">
        <v>37974</v>
      </c>
      <c r="H389" s="351" t="str">
        <f t="shared" si="19"/>
        <v>Callum Leslie</v>
      </c>
      <c r="I389" s="353">
        <f t="shared" si="20"/>
        <v>1384</v>
      </c>
      <c r="J389" s="353">
        <f t="shared" si="21"/>
        <v>37974</v>
      </c>
    </row>
    <row r="390" spans="1:10" x14ac:dyDescent="0.2">
      <c r="A390" s="207">
        <v>1385</v>
      </c>
      <c r="B390" s="207" t="s">
        <v>1200</v>
      </c>
      <c r="C390" s="207" t="s">
        <v>1201</v>
      </c>
      <c r="D390" s="207" t="s">
        <v>962</v>
      </c>
      <c r="E390" s="281">
        <v>0</v>
      </c>
      <c r="F390" s="281"/>
      <c r="G390" s="282">
        <v>38115</v>
      </c>
      <c r="H390" s="351" t="str">
        <f t="shared" si="19"/>
        <v>Nathaniel Mallon</v>
      </c>
      <c r="I390" s="353">
        <f t="shared" si="20"/>
        <v>1385</v>
      </c>
      <c r="J390" s="353">
        <f t="shared" si="21"/>
        <v>38115</v>
      </c>
    </row>
    <row r="391" spans="1:10" x14ac:dyDescent="0.2">
      <c r="A391" s="207">
        <v>1386</v>
      </c>
      <c r="B391" s="207" t="s">
        <v>93</v>
      </c>
      <c r="C391" s="207" t="s">
        <v>712</v>
      </c>
      <c r="D391" s="207" t="s">
        <v>1202</v>
      </c>
      <c r="E391" s="281">
        <v>0</v>
      </c>
      <c r="F391" s="281"/>
      <c r="G391" s="282">
        <v>37276</v>
      </c>
      <c r="H391" s="351" t="str">
        <f t="shared" si="19"/>
        <v>Josh Adshead</v>
      </c>
      <c r="I391" s="353">
        <f t="shared" si="20"/>
        <v>1386</v>
      </c>
      <c r="J391" s="353">
        <f t="shared" si="21"/>
        <v>37276</v>
      </c>
    </row>
    <row r="392" spans="1:10" x14ac:dyDescent="0.2">
      <c r="A392" s="207">
        <v>1387</v>
      </c>
      <c r="B392" s="207" t="s">
        <v>129</v>
      </c>
      <c r="C392" s="207" t="s">
        <v>961</v>
      </c>
      <c r="D392" s="207" t="s">
        <v>1202</v>
      </c>
      <c r="E392" s="281">
        <v>0</v>
      </c>
      <c r="F392" s="281"/>
      <c r="G392" s="282">
        <v>37359</v>
      </c>
      <c r="H392" s="351" t="str">
        <f t="shared" si="19"/>
        <v>Tom Armstrong Mortlock</v>
      </c>
      <c r="I392" s="353">
        <f t="shared" si="20"/>
        <v>1387</v>
      </c>
      <c r="J392" s="353">
        <f t="shared" si="21"/>
        <v>37359</v>
      </c>
    </row>
    <row r="393" spans="1:10" x14ac:dyDescent="0.2">
      <c r="A393" s="207">
        <v>1388</v>
      </c>
      <c r="B393" s="207" t="s">
        <v>99</v>
      </c>
      <c r="C393" s="207" t="s">
        <v>963</v>
      </c>
      <c r="D393" s="207" t="s">
        <v>1202</v>
      </c>
      <c r="E393" s="281">
        <v>0</v>
      </c>
      <c r="F393" s="281"/>
      <c r="G393" s="282">
        <v>37198</v>
      </c>
      <c r="H393" s="351" t="str">
        <f t="shared" ref="H393:H456" si="22">CONCATENATE(B393," ",C393)</f>
        <v>Oliver Glendining</v>
      </c>
      <c r="I393" s="353">
        <f t="shared" ref="I393:I456" si="23">A393</f>
        <v>1388</v>
      </c>
      <c r="J393" s="353">
        <f t="shared" ref="J393:J456" si="24">G393</f>
        <v>37198</v>
      </c>
    </row>
    <row r="394" spans="1:10" x14ac:dyDescent="0.2">
      <c r="A394" s="207">
        <v>1389</v>
      </c>
      <c r="B394" s="207" t="s">
        <v>65</v>
      </c>
      <c r="C394" s="207" t="s">
        <v>172</v>
      </c>
      <c r="D394" s="207" t="s">
        <v>1202</v>
      </c>
      <c r="E394" s="281">
        <v>0</v>
      </c>
      <c r="F394" s="281"/>
      <c r="G394" s="282">
        <v>37521</v>
      </c>
      <c r="H394" s="351" t="str">
        <f t="shared" si="22"/>
        <v>Daniel Jackson</v>
      </c>
      <c r="I394" s="353">
        <f t="shared" si="23"/>
        <v>1389</v>
      </c>
      <c r="J394" s="353">
        <f t="shared" si="24"/>
        <v>37521</v>
      </c>
    </row>
    <row r="395" spans="1:10" x14ac:dyDescent="0.2">
      <c r="A395" s="207">
        <v>1390</v>
      </c>
      <c r="B395" s="207" t="s">
        <v>190</v>
      </c>
      <c r="C395" s="207" t="s">
        <v>477</v>
      </c>
      <c r="D395" s="207" t="s">
        <v>1202</v>
      </c>
      <c r="E395" s="281">
        <v>0</v>
      </c>
      <c r="F395" s="281"/>
      <c r="G395" s="282">
        <v>37525</v>
      </c>
      <c r="H395" s="351" t="str">
        <f t="shared" si="22"/>
        <v>Lewis Lee</v>
      </c>
      <c r="I395" s="353">
        <f t="shared" si="23"/>
        <v>1390</v>
      </c>
      <c r="J395" s="353">
        <f t="shared" si="24"/>
        <v>37525</v>
      </c>
    </row>
    <row r="396" spans="1:10" x14ac:dyDescent="0.2">
      <c r="A396" s="207">
        <v>1391</v>
      </c>
      <c r="B396" s="207" t="s">
        <v>46</v>
      </c>
      <c r="C396" s="207" t="s">
        <v>1203</v>
      </c>
      <c r="D396" s="207" t="s">
        <v>1202</v>
      </c>
      <c r="E396" s="281">
        <v>0</v>
      </c>
      <c r="F396" s="281"/>
      <c r="G396" s="282">
        <v>37523</v>
      </c>
      <c r="H396" s="351" t="str">
        <f t="shared" si="22"/>
        <v>Alex Morgan-Hennessy</v>
      </c>
      <c r="I396" s="353">
        <f t="shared" si="23"/>
        <v>1391</v>
      </c>
      <c r="J396" s="353">
        <f t="shared" si="24"/>
        <v>37523</v>
      </c>
    </row>
    <row r="397" spans="1:10" x14ac:dyDescent="0.2">
      <c r="A397" s="207">
        <v>1392</v>
      </c>
      <c r="B397" s="207" t="s">
        <v>945</v>
      </c>
      <c r="C397" s="207" t="s">
        <v>1204</v>
      </c>
      <c r="D397" s="207" t="s">
        <v>1205</v>
      </c>
      <c r="E397" s="281">
        <v>0</v>
      </c>
      <c r="F397" s="281" t="s">
        <v>35</v>
      </c>
      <c r="G397" s="282">
        <v>37975</v>
      </c>
      <c r="H397" s="351" t="str">
        <f t="shared" si="22"/>
        <v>Cerys Boardman</v>
      </c>
      <c r="I397" s="353">
        <f t="shared" si="23"/>
        <v>1392</v>
      </c>
      <c r="J397" s="353">
        <f t="shared" si="24"/>
        <v>37975</v>
      </c>
    </row>
    <row r="398" spans="1:10" x14ac:dyDescent="0.2">
      <c r="A398" s="207">
        <v>1393</v>
      </c>
      <c r="B398" s="207" t="s">
        <v>1206</v>
      </c>
      <c r="C398" s="207" t="s">
        <v>1207</v>
      </c>
      <c r="D398" s="207" t="s">
        <v>1205</v>
      </c>
      <c r="E398" s="281">
        <v>523390</v>
      </c>
      <c r="F398" s="281" t="s">
        <v>35</v>
      </c>
      <c r="G398" s="282">
        <v>23325</v>
      </c>
      <c r="H398" s="351" t="str">
        <f t="shared" si="22"/>
        <v>Alison Harper</v>
      </c>
      <c r="I398" s="353">
        <f t="shared" si="23"/>
        <v>1393</v>
      </c>
      <c r="J398" s="353">
        <f t="shared" si="24"/>
        <v>23325</v>
      </c>
    </row>
    <row r="399" spans="1:10" x14ac:dyDescent="0.2">
      <c r="A399" s="207">
        <v>1394</v>
      </c>
      <c r="B399" s="207" t="s">
        <v>95</v>
      </c>
      <c r="C399" s="207" t="s">
        <v>1207</v>
      </c>
      <c r="D399" s="207" t="s">
        <v>1205</v>
      </c>
      <c r="E399" s="281">
        <v>0</v>
      </c>
      <c r="F399" s="281"/>
      <c r="G399" s="282">
        <v>38049</v>
      </c>
      <c r="H399" s="351" t="str">
        <f t="shared" si="22"/>
        <v>Michael Harper</v>
      </c>
      <c r="I399" s="353">
        <f t="shared" si="23"/>
        <v>1394</v>
      </c>
      <c r="J399" s="353">
        <f t="shared" si="24"/>
        <v>38049</v>
      </c>
    </row>
    <row r="400" spans="1:10" x14ac:dyDescent="0.2">
      <c r="A400" s="207">
        <v>1395</v>
      </c>
      <c r="B400" s="207" t="s">
        <v>728</v>
      </c>
      <c r="C400" s="207" t="s">
        <v>992</v>
      </c>
      <c r="D400" s="207" t="s">
        <v>1205</v>
      </c>
      <c r="E400" s="281">
        <v>11319838</v>
      </c>
      <c r="F400" s="281" t="s">
        <v>35</v>
      </c>
      <c r="G400" s="282">
        <v>35822</v>
      </c>
      <c r="H400" s="351" t="str">
        <f t="shared" si="22"/>
        <v>Bethany Mountain</v>
      </c>
      <c r="I400" s="353">
        <f t="shared" si="23"/>
        <v>1395</v>
      </c>
      <c r="J400" s="353">
        <f t="shared" si="24"/>
        <v>35822</v>
      </c>
    </row>
    <row r="401" spans="1:10" x14ac:dyDescent="0.2">
      <c r="A401" s="207">
        <v>1396</v>
      </c>
      <c r="B401" s="207" t="s">
        <v>200</v>
      </c>
      <c r="C401" s="207" t="s">
        <v>992</v>
      </c>
      <c r="D401" s="207" t="s">
        <v>1205</v>
      </c>
      <c r="E401" s="281">
        <v>0</v>
      </c>
      <c r="F401" s="281" t="s">
        <v>35</v>
      </c>
      <c r="G401" s="282">
        <v>37663</v>
      </c>
      <c r="H401" s="351" t="str">
        <f t="shared" si="22"/>
        <v>Hannah Mountain</v>
      </c>
      <c r="I401" s="353">
        <f t="shared" si="23"/>
        <v>1396</v>
      </c>
      <c r="J401" s="353">
        <f t="shared" si="24"/>
        <v>37663</v>
      </c>
    </row>
    <row r="402" spans="1:10" x14ac:dyDescent="0.2">
      <c r="A402" s="207">
        <v>1397</v>
      </c>
      <c r="B402" s="207" t="s">
        <v>126</v>
      </c>
      <c r="C402" s="207" t="s">
        <v>929</v>
      </c>
      <c r="D402" s="207" t="s">
        <v>1205</v>
      </c>
      <c r="E402" s="281">
        <v>0</v>
      </c>
      <c r="F402" s="281" t="s">
        <v>35</v>
      </c>
      <c r="G402" s="282">
        <v>38079</v>
      </c>
      <c r="H402" s="351" t="str">
        <f t="shared" si="22"/>
        <v>Charlotte Steven</v>
      </c>
      <c r="I402" s="353">
        <f t="shared" si="23"/>
        <v>1397</v>
      </c>
      <c r="J402" s="353">
        <f t="shared" si="24"/>
        <v>38079</v>
      </c>
    </row>
    <row r="403" spans="1:10" x14ac:dyDescent="0.2">
      <c r="A403" s="207">
        <v>1398</v>
      </c>
      <c r="B403" s="207" t="s">
        <v>49</v>
      </c>
      <c r="C403" s="207" t="s">
        <v>950</v>
      </c>
      <c r="D403" s="207" t="s">
        <v>949</v>
      </c>
      <c r="E403" s="281">
        <v>0</v>
      </c>
      <c r="F403" s="281"/>
      <c r="G403" s="282">
        <v>37760</v>
      </c>
      <c r="H403" s="351" t="str">
        <f t="shared" si="22"/>
        <v>James Sides</v>
      </c>
      <c r="I403" s="353">
        <f t="shared" si="23"/>
        <v>1398</v>
      </c>
      <c r="J403" s="353">
        <f t="shared" si="24"/>
        <v>37760</v>
      </c>
    </row>
    <row r="404" spans="1:10" x14ac:dyDescent="0.2">
      <c r="A404" s="207">
        <v>1399</v>
      </c>
      <c r="B404" s="207" t="s">
        <v>59</v>
      </c>
      <c r="C404" s="207" t="s">
        <v>1208</v>
      </c>
      <c r="D404" s="207" t="s">
        <v>1209</v>
      </c>
      <c r="E404" s="281">
        <v>863517</v>
      </c>
      <c r="F404" s="281"/>
      <c r="G404" s="282">
        <v>27512</v>
      </c>
      <c r="H404" s="351" t="str">
        <f t="shared" si="22"/>
        <v>Andrew Leatherbarrow</v>
      </c>
      <c r="I404" s="353">
        <f t="shared" si="23"/>
        <v>1399</v>
      </c>
      <c r="J404" s="353">
        <f t="shared" si="24"/>
        <v>27512</v>
      </c>
    </row>
    <row r="405" spans="1:10" x14ac:dyDescent="0.2">
      <c r="A405" s="207">
        <v>1400</v>
      </c>
      <c r="B405" s="207" t="s">
        <v>509</v>
      </c>
      <c r="C405" s="207" t="s">
        <v>1208</v>
      </c>
      <c r="D405" s="207" t="s">
        <v>1209</v>
      </c>
      <c r="E405" s="281">
        <v>0</v>
      </c>
      <c r="F405" s="281" t="s">
        <v>35</v>
      </c>
      <c r="G405" s="282">
        <v>37308</v>
      </c>
      <c r="H405" s="351" t="str">
        <f t="shared" si="22"/>
        <v>Rachel Leatherbarrow</v>
      </c>
      <c r="I405" s="353">
        <f t="shared" si="23"/>
        <v>1400</v>
      </c>
      <c r="J405" s="353">
        <f t="shared" si="24"/>
        <v>37308</v>
      </c>
    </row>
    <row r="406" spans="1:10" x14ac:dyDescent="0.2">
      <c r="A406" s="207">
        <v>1401</v>
      </c>
      <c r="B406" s="207" t="s">
        <v>59</v>
      </c>
      <c r="C406" s="207" t="s">
        <v>992</v>
      </c>
      <c r="D406" s="207" t="s">
        <v>1209</v>
      </c>
      <c r="E406" s="281">
        <v>211036</v>
      </c>
      <c r="F406" s="281"/>
      <c r="G406" s="282">
        <v>28145</v>
      </c>
      <c r="H406" s="351" t="str">
        <f t="shared" si="22"/>
        <v>Andrew Mountain</v>
      </c>
      <c r="I406" s="353">
        <f t="shared" si="23"/>
        <v>1401</v>
      </c>
      <c r="J406" s="353">
        <f t="shared" si="24"/>
        <v>28145</v>
      </c>
    </row>
    <row r="407" spans="1:10" x14ac:dyDescent="0.2">
      <c r="A407" s="207">
        <v>1402</v>
      </c>
      <c r="B407" s="207" t="s">
        <v>198</v>
      </c>
      <c r="C407" s="207" t="s">
        <v>1210</v>
      </c>
      <c r="D407" s="207" t="s">
        <v>1211</v>
      </c>
      <c r="E407" s="281">
        <v>52806</v>
      </c>
      <c r="F407" s="281"/>
      <c r="G407" s="282">
        <v>20808</v>
      </c>
      <c r="H407" s="351" t="str">
        <f t="shared" si="22"/>
        <v>Derek Mangan</v>
      </c>
      <c r="I407" s="353">
        <f t="shared" si="23"/>
        <v>1402</v>
      </c>
      <c r="J407" s="353">
        <f t="shared" si="24"/>
        <v>20808</v>
      </c>
    </row>
    <row r="408" spans="1:10" x14ac:dyDescent="0.2">
      <c r="A408" s="207">
        <v>1403</v>
      </c>
      <c r="B408" s="207" t="s">
        <v>159</v>
      </c>
      <c r="C408" s="207" t="s">
        <v>1212</v>
      </c>
      <c r="D408" s="207" t="s">
        <v>171</v>
      </c>
      <c r="E408" s="281">
        <v>0</v>
      </c>
      <c r="F408" s="281"/>
      <c r="G408" s="282">
        <v>38927</v>
      </c>
      <c r="H408" s="351" t="str">
        <f t="shared" si="22"/>
        <v>Rhys Bennett-Jones</v>
      </c>
      <c r="I408" s="353">
        <f t="shared" si="23"/>
        <v>1403</v>
      </c>
      <c r="J408" s="353">
        <f t="shared" si="24"/>
        <v>38927</v>
      </c>
    </row>
    <row r="409" spans="1:10" x14ac:dyDescent="0.2">
      <c r="A409" s="207">
        <v>1404</v>
      </c>
      <c r="B409" s="207" t="s">
        <v>1060</v>
      </c>
      <c r="C409" s="207" t="s">
        <v>556</v>
      </c>
      <c r="D409" s="207" t="s">
        <v>171</v>
      </c>
      <c r="E409" s="281">
        <v>0</v>
      </c>
      <c r="F409" s="281"/>
      <c r="G409" s="282">
        <v>37810</v>
      </c>
      <c r="H409" s="351" t="str">
        <f t="shared" si="22"/>
        <v>Connor Cooke</v>
      </c>
      <c r="I409" s="353">
        <f t="shared" si="23"/>
        <v>1404</v>
      </c>
      <c r="J409" s="353">
        <f t="shared" si="24"/>
        <v>37810</v>
      </c>
    </row>
    <row r="410" spans="1:10" x14ac:dyDescent="0.2">
      <c r="A410" s="207">
        <v>1405</v>
      </c>
      <c r="B410" s="207" t="s">
        <v>119</v>
      </c>
      <c r="C410" s="207" t="s">
        <v>1213</v>
      </c>
      <c r="D410" s="207" t="s">
        <v>171</v>
      </c>
      <c r="E410" s="281"/>
      <c r="F410" s="281"/>
      <c r="G410" s="282">
        <v>38777</v>
      </c>
      <c r="H410" s="351" t="str">
        <f t="shared" si="22"/>
        <v>William Newson</v>
      </c>
      <c r="I410" s="353">
        <f t="shared" si="23"/>
        <v>1405</v>
      </c>
      <c r="J410" s="353">
        <f t="shared" si="24"/>
        <v>38777</v>
      </c>
    </row>
    <row r="411" spans="1:10" x14ac:dyDescent="0.2">
      <c r="A411" s="207">
        <v>1406</v>
      </c>
      <c r="B411" s="207" t="s">
        <v>1214</v>
      </c>
      <c r="C411" s="207" t="s">
        <v>1215</v>
      </c>
      <c r="D411" s="207" t="s">
        <v>171</v>
      </c>
      <c r="E411" s="281"/>
      <c r="F411" s="281"/>
      <c r="G411" s="282">
        <v>38258</v>
      </c>
      <c r="H411" s="351" t="str">
        <f t="shared" si="22"/>
        <v>Gabriele Lizio</v>
      </c>
      <c r="I411" s="353">
        <f t="shared" si="23"/>
        <v>1406</v>
      </c>
      <c r="J411" s="353">
        <f t="shared" si="24"/>
        <v>38258</v>
      </c>
    </row>
    <row r="412" spans="1:10" x14ac:dyDescent="0.2">
      <c r="A412" s="207">
        <v>1407</v>
      </c>
      <c r="B412" s="207" t="s">
        <v>54</v>
      </c>
      <c r="C412" s="207" t="s">
        <v>940</v>
      </c>
      <c r="D412" s="207" t="s">
        <v>171</v>
      </c>
      <c r="E412" s="281">
        <v>0</v>
      </c>
      <c r="F412" s="281"/>
      <c r="G412" s="282">
        <v>37736</v>
      </c>
      <c r="H412" s="351" t="str">
        <f t="shared" si="22"/>
        <v>Joseph Ingham-Smith</v>
      </c>
      <c r="I412" s="353">
        <f t="shared" si="23"/>
        <v>1407</v>
      </c>
      <c r="J412" s="353">
        <f t="shared" si="24"/>
        <v>37736</v>
      </c>
    </row>
    <row r="413" spans="1:10" x14ac:dyDescent="0.2">
      <c r="A413" s="207">
        <v>1408</v>
      </c>
      <c r="B413" s="207" t="s">
        <v>65</v>
      </c>
      <c r="C413" s="207" t="s">
        <v>1216</v>
      </c>
      <c r="D413" s="207" t="s">
        <v>171</v>
      </c>
      <c r="E413" s="281"/>
      <c r="F413" s="281"/>
      <c r="G413" s="282">
        <v>38896</v>
      </c>
      <c r="H413" s="351" t="str">
        <f t="shared" si="22"/>
        <v>Daniel Cvetkow</v>
      </c>
      <c r="I413" s="353">
        <f t="shared" si="23"/>
        <v>1408</v>
      </c>
      <c r="J413" s="353">
        <f t="shared" si="24"/>
        <v>38896</v>
      </c>
    </row>
    <row r="414" spans="1:10" x14ac:dyDescent="0.2">
      <c r="A414" s="207">
        <v>1409</v>
      </c>
      <c r="B414" s="207" t="s">
        <v>65</v>
      </c>
      <c r="C414" s="207" t="s">
        <v>1217</v>
      </c>
      <c r="D414" s="207" t="s">
        <v>171</v>
      </c>
      <c r="E414" s="281">
        <v>0</v>
      </c>
      <c r="F414" s="281"/>
      <c r="G414" s="282">
        <v>38888</v>
      </c>
      <c r="H414" s="351" t="str">
        <f t="shared" si="22"/>
        <v>Daniel Sharkey</v>
      </c>
      <c r="I414" s="353">
        <f t="shared" si="23"/>
        <v>1409</v>
      </c>
      <c r="J414" s="353">
        <f t="shared" si="24"/>
        <v>38888</v>
      </c>
    </row>
    <row r="415" spans="1:10" x14ac:dyDescent="0.2">
      <c r="A415" s="207">
        <v>1410</v>
      </c>
      <c r="B415" s="207" t="s">
        <v>1024</v>
      </c>
      <c r="C415" s="207" t="s">
        <v>1025</v>
      </c>
      <c r="D415" s="207" t="s">
        <v>528</v>
      </c>
      <c r="E415" s="281"/>
      <c r="F415" s="281"/>
      <c r="G415" s="282">
        <v>0</v>
      </c>
      <c r="H415" s="351" t="str">
        <f t="shared" si="22"/>
        <v>DNS in 2016 !</v>
      </c>
      <c r="I415" s="353">
        <f t="shared" si="23"/>
        <v>1410</v>
      </c>
      <c r="J415" s="353">
        <f t="shared" si="24"/>
        <v>0</v>
      </c>
    </row>
    <row r="416" spans="1:10" x14ac:dyDescent="0.2">
      <c r="A416" s="207">
        <v>1411</v>
      </c>
      <c r="B416" s="207" t="s">
        <v>59</v>
      </c>
      <c r="C416" s="207" t="s">
        <v>236</v>
      </c>
      <c r="D416" s="207" t="s">
        <v>171</v>
      </c>
      <c r="E416" s="281">
        <v>0</v>
      </c>
      <c r="F416" s="281"/>
      <c r="G416" s="282">
        <v>38880</v>
      </c>
      <c r="H416" s="351" t="str">
        <f t="shared" si="22"/>
        <v>Andrew Wells</v>
      </c>
      <c r="I416" s="353">
        <f t="shared" si="23"/>
        <v>1411</v>
      </c>
      <c r="J416" s="353">
        <f t="shared" si="24"/>
        <v>38880</v>
      </c>
    </row>
    <row r="417" spans="1:10" x14ac:dyDescent="0.2">
      <c r="A417" s="207">
        <v>1412</v>
      </c>
      <c r="B417" s="207" t="s">
        <v>1218</v>
      </c>
      <c r="C417" s="207" t="s">
        <v>1219</v>
      </c>
      <c r="D417" s="207" t="s">
        <v>673</v>
      </c>
      <c r="E417" s="281">
        <v>0</v>
      </c>
      <c r="F417" s="281"/>
      <c r="G417" s="282">
        <v>37963</v>
      </c>
      <c r="H417" s="351" t="str">
        <f t="shared" si="22"/>
        <v>Leo Bega</v>
      </c>
      <c r="I417" s="353">
        <f t="shared" si="23"/>
        <v>1412</v>
      </c>
      <c r="J417" s="353">
        <f t="shared" si="24"/>
        <v>37963</v>
      </c>
    </row>
    <row r="418" spans="1:10" x14ac:dyDescent="0.2">
      <c r="A418" s="207">
        <v>1413</v>
      </c>
      <c r="B418" s="207" t="s">
        <v>994</v>
      </c>
      <c r="C418" s="207" t="s">
        <v>1220</v>
      </c>
      <c r="D418" s="207" t="s">
        <v>673</v>
      </c>
      <c r="E418" s="281">
        <v>0</v>
      </c>
      <c r="F418" s="281"/>
      <c r="G418" s="282">
        <v>37447</v>
      </c>
      <c r="H418" s="351" t="str">
        <f t="shared" si="22"/>
        <v>Arthur Betts</v>
      </c>
      <c r="I418" s="353">
        <f t="shared" si="23"/>
        <v>1413</v>
      </c>
      <c r="J418" s="353">
        <f t="shared" si="24"/>
        <v>37447</v>
      </c>
    </row>
    <row r="419" spans="1:10" x14ac:dyDescent="0.2">
      <c r="A419" s="207">
        <v>1414</v>
      </c>
      <c r="B419" s="207" t="s">
        <v>194</v>
      </c>
      <c r="C419" s="207" t="s">
        <v>192</v>
      </c>
      <c r="D419" s="207" t="s">
        <v>673</v>
      </c>
      <c r="E419" s="281">
        <v>731146</v>
      </c>
      <c r="F419" s="281" t="s">
        <v>35</v>
      </c>
      <c r="G419" s="282">
        <v>24733</v>
      </c>
      <c r="H419" s="351" t="str">
        <f t="shared" si="22"/>
        <v>Miranda Biddle</v>
      </c>
      <c r="I419" s="353">
        <f t="shared" si="23"/>
        <v>1414</v>
      </c>
      <c r="J419" s="353">
        <f t="shared" si="24"/>
        <v>24733</v>
      </c>
    </row>
    <row r="420" spans="1:10" x14ac:dyDescent="0.2">
      <c r="A420" s="207">
        <v>1415</v>
      </c>
      <c r="B420" s="207" t="s">
        <v>1221</v>
      </c>
      <c r="C420" s="207" t="s">
        <v>1222</v>
      </c>
      <c r="D420" s="207" t="s">
        <v>673</v>
      </c>
      <c r="E420" s="281">
        <v>11950894</v>
      </c>
      <c r="F420" s="281" t="s">
        <v>35</v>
      </c>
      <c r="G420" s="282"/>
      <c r="H420" s="351" t="str">
        <f t="shared" si="22"/>
        <v>Louise Derham</v>
      </c>
      <c r="I420" s="353">
        <f t="shared" si="23"/>
        <v>1415</v>
      </c>
      <c r="J420" s="353">
        <f t="shared" si="24"/>
        <v>0</v>
      </c>
    </row>
    <row r="421" spans="1:10" x14ac:dyDescent="0.2">
      <c r="A421" s="207">
        <v>1416</v>
      </c>
      <c r="B421" s="207" t="s">
        <v>106</v>
      </c>
      <c r="C421" s="207" t="s">
        <v>1207</v>
      </c>
      <c r="D421" s="207" t="s">
        <v>673</v>
      </c>
      <c r="E421" s="281">
        <v>0</v>
      </c>
      <c r="F421" s="281"/>
      <c r="G421" s="282">
        <v>38239</v>
      </c>
      <c r="H421" s="351" t="str">
        <f t="shared" si="22"/>
        <v>Harry Harper</v>
      </c>
      <c r="I421" s="353">
        <f t="shared" si="23"/>
        <v>1416</v>
      </c>
      <c r="J421" s="353">
        <f t="shared" si="24"/>
        <v>38239</v>
      </c>
    </row>
    <row r="422" spans="1:10" x14ac:dyDescent="0.2">
      <c r="A422" s="207">
        <v>1417</v>
      </c>
      <c r="B422" s="207" t="s">
        <v>152</v>
      </c>
      <c r="C422" s="207" t="s">
        <v>105</v>
      </c>
      <c r="D422" s="207" t="s">
        <v>673</v>
      </c>
      <c r="E422" s="281">
        <v>96738</v>
      </c>
      <c r="F422" s="281"/>
      <c r="G422" s="282">
        <v>21425</v>
      </c>
      <c r="H422" s="351" t="str">
        <f t="shared" si="22"/>
        <v>Stuart Haydon</v>
      </c>
      <c r="I422" s="353">
        <f t="shared" si="23"/>
        <v>1417</v>
      </c>
      <c r="J422" s="353">
        <f t="shared" si="24"/>
        <v>21425</v>
      </c>
    </row>
    <row r="423" spans="1:10" x14ac:dyDescent="0.2">
      <c r="A423" s="207">
        <v>1418</v>
      </c>
      <c r="B423" s="207" t="s">
        <v>1223</v>
      </c>
      <c r="C423" s="207" t="s">
        <v>1224</v>
      </c>
      <c r="D423" s="207" t="s">
        <v>673</v>
      </c>
      <c r="E423" s="281">
        <v>0</v>
      </c>
      <c r="F423" s="281"/>
      <c r="G423" s="282">
        <v>38334</v>
      </c>
      <c r="H423" s="351" t="str">
        <f t="shared" si="22"/>
        <v>Evan Hogan</v>
      </c>
      <c r="I423" s="353">
        <f t="shared" si="23"/>
        <v>1418</v>
      </c>
      <c r="J423" s="353">
        <f t="shared" si="24"/>
        <v>38334</v>
      </c>
    </row>
    <row r="424" spans="1:10" x14ac:dyDescent="0.2">
      <c r="A424" s="207">
        <v>1419</v>
      </c>
      <c r="B424" s="207" t="s">
        <v>475</v>
      </c>
      <c r="C424" s="207" t="s">
        <v>1224</v>
      </c>
      <c r="D424" s="207" t="s">
        <v>673</v>
      </c>
      <c r="E424" s="281">
        <v>0</v>
      </c>
      <c r="F424" s="281"/>
      <c r="G424" s="282">
        <v>37198</v>
      </c>
      <c r="H424" s="351" t="str">
        <f t="shared" si="22"/>
        <v>Oscar Hogan</v>
      </c>
      <c r="I424" s="353">
        <f t="shared" si="23"/>
        <v>1419</v>
      </c>
      <c r="J424" s="353">
        <f t="shared" si="24"/>
        <v>37198</v>
      </c>
    </row>
    <row r="425" spans="1:10" x14ac:dyDescent="0.2">
      <c r="A425" s="207">
        <v>1420</v>
      </c>
      <c r="B425" s="207" t="s">
        <v>1118</v>
      </c>
      <c r="C425" s="207" t="s">
        <v>1225</v>
      </c>
      <c r="D425" s="207" t="s">
        <v>673</v>
      </c>
      <c r="E425" s="281">
        <v>0</v>
      </c>
      <c r="F425" s="281"/>
      <c r="G425" s="282">
        <v>38583</v>
      </c>
      <c r="H425" s="351" t="str">
        <f t="shared" si="22"/>
        <v>Samuel Irwin</v>
      </c>
      <c r="I425" s="353">
        <f t="shared" si="23"/>
        <v>1420</v>
      </c>
      <c r="J425" s="353">
        <f t="shared" si="24"/>
        <v>38583</v>
      </c>
    </row>
    <row r="426" spans="1:10" x14ac:dyDescent="0.2">
      <c r="A426" s="207">
        <v>1421</v>
      </c>
      <c r="B426" s="207" t="s">
        <v>655</v>
      </c>
      <c r="C426" s="207" t="s">
        <v>674</v>
      </c>
      <c r="D426" s="207" t="s">
        <v>673</v>
      </c>
      <c r="E426" s="281">
        <v>0</v>
      </c>
      <c r="F426" s="281" t="s">
        <v>35</v>
      </c>
      <c r="G426" s="282">
        <v>37435</v>
      </c>
      <c r="H426" s="351" t="str">
        <f t="shared" si="22"/>
        <v>Rebecca Mallett</v>
      </c>
      <c r="I426" s="353">
        <f t="shared" si="23"/>
        <v>1421</v>
      </c>
      <c r="J426" s="353">
        <f t="shared" si="24"/>
        <v>37435</v>
      </c>
    </row>
    <row r="427" spans="1:10" x14ac:dyDescent="0.2">
      <c r="A427" s="207">
        <v>1422</v>
      </c>
      <c r="B427" s="207" t="s">
        <v>96</v>
      </c>
      <c r="C427" s="207" t="s">
        <v>674</v>
      </c>
      <c r="D427" s="207" t="s">
        <v>673</v>
      </c>
      <c r="E427" s="281">
        <v>0</v>
      </c>
      <c r="F427" s="281"/>
      <c r="G427" s="282">
        <v>36623</v>
      </c>
      <c r="H427" s="351" t="str">
        <f t="shared" si="22"/>
        <v>Thomas Mallett</v>
      </c>
      <c r="I427" s="353">
        <f t="shared" si="23"/>
        <v>1422</v>
      </c>
      <c r="J427" s="353">
        <f t="shared" si="24"/>
        <v>36623</v>
      </c>
    </row>
    <row r="428" spans="1:10" x14ac:dyDescent="0.2">
      <c r="A428" s="207">
        <v>1423</v>
      </c>
      <c r="B428" s="207" t="s">
        <v>57</v>
      </c>
      <c r="C428" s="207" t="s">
        <v>121</v>
      </c>
      <c r="D428" s="207" t="s">
        <v>673</v>
      </c>
      <c r="E428" s="281">
        <v>638469</v>
      </c>
      <c r="F428" s="281"/>
      <c r="G428" s="282">
        <v>25238</v>
      </c>
      <c r="H428" s="351" t="str">
        <f t="shared" si="22"/>
        <v>Dave Martin</v>
      </c>
      <c r="I428" s="353">
        <f t="shared" si="23"/>
        <v>1423</v>
      </c>
      <c r="J428" s="353">
        <f t="shared" si="24"/>
        <v>25238</v>
      </c>
    </row>
    <row r="429" spans="1:10" x14ac:dyDescent="0.2">
      <c r="A429" s="207">
        <v>1424</v>
      </c>
      <c r="B429" s="207" t="s">
        <v>1226</v>
      </c>
      <c r="C429" s="207" t="s">
        <v>1227</v>
      </c>
      <c r="D429" s="207" t="s">
        <v>673</v>
      </c>
      <c r="E429" s="281">
        <v>0</v>
      </c>
      <c r="F429" s="281"/>
      <c r="G429" s="282">
        <v>38150</v>
      </c>
      <c r="H429" s="351" t="str">
        <f t="shared" si="22"/>
        <v>Macey Pattenden</v>
      </c>
      <c r="I429" s="353">
        <f t="shared" si="23"/>
        <v>1424</v>
      </c>
      <c r="J429" s="353">
        <f t="shared" si="24"/>
        <v>38150</v>
      </c>
    </row>
    <row r="430" spans="1:10" x14ac:dyDescent="0.2">
      <c r="A430" s="207">
        <v>1425</v>
      </c>
      <c r="B430" s="207" t="s">
        <v>231</v>
      </c>
      <c r="C430" s="207" t="s">
        <v>675</v>
      </c>
      <c r="D430" s="207" t="s">
        <v>673</v>
      </c>
      <c r="E430" s="281">
        <v>0</v>
      </c>
      <c r="F430" s="281"/>
      <c r="G430" s="282">
        <v>36904</v>
      </c>
      <c r="H430" s="351" t="str">
        <f t="shared" si="22"/>
        <v>Harvey Pearce</v>
      </c>
      <c r="I430" s="353">
        <f t="shared" si="23"/>
        <v>1425</v>
      </c>
      <c r="J430" s="353">
        <f t="shared" si="24"/>
        <v>36904</v>
      </c>
    </row>
    <row r="431" spans="1:10" x14ac:dyDescent="0.2">
      <c r="A431" s="207">
        <v>1426</v>
      </c>
      <c r="B431" s="207" t="s">
        <v>106</v>
      </c>
      <c r="C431" s="207" t="s">
        <v>74</v>
      </c>
      <c r="D431" s="207" t="s">
        <v>673</v>
      </c>
      <c r="E431" s="281">
        <v>0</v>
      </c>
      <c r="F431" s="281"/>
      <c r="G431" s="282">
        <v>36732</v>
      </c>
      <c r="H431" s="351" t="str">
        <f t="shared" si="22"/>
        <v>Harry Stevenson</v>
      </c>
      <c r="I431" s="353">
        <f t="shared" si="23"/>
        <v>1426</v>
      </c>
      <c r="J431" s="353">
        <f t="shared" si="24"/>
        <v>36732</v>
      </c>
    </row>
    <row r="432" spans="1:10" x14ac:dyDescent="0.2">
      <c r="A432" s="207">
        <v>1427</v>
      </c>
      <c r="B432" s="207" t="s">
        <v>102</v>
      </c>
      <c r="C432" s="207" t="s">
        <v>1228</v>
      </c>
      <c r="D432" s="207" t="s">
        <v>673</v>
      </c>
      <c r="E432" s="281">
        <v>0</v>
      </c>
      <c r="F432" s="281" t="s">
        <v>35</v>
      </c>
      <c r="G432" s="282">
        <v>38575</v>
      </c>
      <c r="H432" s="351" t="str">
        <f t="shared" si="22"/>
        <v>Amy Woods</v>
      </c>
      <c r="I432" s="353">
        <f t="shared" si="23"/>
        <v>1427</v>
      </c>
      <c r="J432" s="353">
        <f t="shared" si="24"/>
        <v>38575</v>
      </c>
    </row>
    <row r="433" spans="1:10" x14ac:dyDescent="0.2">
      <c r="A433" s="207">
        <v>1428</v>
      </c>
      <c r="B433" s="207" t="s">
        <v>197</v>
      </c>
      <c r="C433" s="207" t="s">
        <v>765</v>
      </c>
      <c r="D433" s="207" t="s">
        <v>1229</v>
      </c>
      <c r="E433" s="281">
        <v>0</v>
      </c>
      <c r="F433" s="281"/>
      <c r="G433" s="282">
        <v>37618</v>
      </c>
      <c r="H433" s="351" t="str">
        <f t="shared" si="22"/>
        <v>Alexander Cresswell</v>
      </c>
      <c r="I433" s="353">
        <f t="shared" si="23"/>
        <v>1428</v>
      </c>
      <c r="J433" s="353">
        <f t="shared" si="24"/>
        <v>37618</v>
      </c>
    </row>
    <row r="434" spans="1:10" x14ac:dyDescent="0.2">
      <c r="A434" s="207">
        <v>1429</v>
      </c>
      <c r="B434" s="207" t="s">
        <v>65</v>
      </c>
      <c r="C434" s="207" t="s">
        <v>849</v>
      </c>
      <c r="D434" s="207" t="s">
        <v>1229</v>
      </c>
      <c r="E434" s="281">
        <v>0</v>
      </c>
      <c r="F434" s="281"/>
      <c r="G434" s="282">
        <v>38541</v>
      </c>
      <c r="H434" s="351" t="str">
        <f t="shared" si="22"/>
        <v>Daniel Deans</v>
      </c>
      <c r="I434" s="353">
        <f t="shared" si="23"/>
        <v>1429</v>
      </c>
      <c r="J434" s="353">
        <f t="shared" si="24"/>
        <v>38541</v>
      </c>
    </row>
    <row r="435" spans="1:10" x14ac:dyDescent="0.2">
      <c r="A435" s="207">
        <v>1430</v>
      </c>
      <c r="B435" s="207" t="s">
        <v>54</v>
      </c>
      <c r="C435" s="207" t="s">
        <v>849</v>
      </c>
      <c r="D435" s="207" t="s">
        <v>1229</v>
      </c>
      <c r="E435" s="281">
        <v>0</v>
      </c>
      <c r="F435" s="281"/>
      <c r="G435" s="282">
        <v>37929</v>
      </c>
      <c r="H435" s="351" t="str">
        <f t="shared" si="22"/>
        <v>Joseph Deans</v>
      </c>
      <c r="I435" s="353">
        <f t="shared" si="23"/>
        <v>1430</v>
      </c>
      <c r="J435" s="353">
        <f t="shared" si="24"/>
        <v>37929</v>
      </c>
    </row>
    <row r="436" spans="1:10" x14ac:dyDescent="0.2">
      <c r="A436" s="207">
        <v>1431</v>
      </c>
      <c r="B436" s="207" t="s">
        <v>64</v>
      </c>
      <c r="C436" s="207" t="s">
        <v>211</v>
      </c>
      <c r="D436" s="207" t="s">
        <v>1229</v>
      </c>
      <c r="E436" s="281">
        <v>0</v>
      </c>
      <c r="F436" s="281"/>
      <c r="G436" s="282">
        <v>37741</v>
      </c>
      <c r="H436" s="351" t="str">
        <f t="shared" si="22"/>
        <v>Richard Graham</v>
      </c>
      <c r="I436" s="353">
        <f t="shared" si="23"/>
        <v>1431</v>
      </c>
      <c r="J436" s="353">
        <f t="shared" si="24"/>
        <v>37741</v>
      </c>
    </row>
    <row r="437" spans="1:10" x14ac:dyDescent="0.2">
      <c r="A437" s="207">
        <v>1432</v>
      </c>
      <c r="B437" s="207" t="s">
        <v>45</v>
      </c>
      <c r="C437" s="207" t="s">
        <v>550</v>
      </c>
      <c r="D437" s="207" t="s">
        <v>1229</v>
      </c>
      <c r="E437" s="281">
        <v>0</v>
      </c>
      <c r="F437" s="281"/>
      <c r="G437" s="282">
        <v>38546</v>
      </c>
      <c r="H437" s="351" t="str">
        <f t="shared" si="22"/>
        <v>Charlie Liller</v>
      </c>
      <c r="I437" s="353">
        <f t="shared" si="23"/>
        <v>1432</v>
      </c>
      <c r="J437" s="353">
        <f t="shared" si="24"/>
        <v>38546</v>
      </c>
    </row>
    <row r="438" spans="1:10" x14ac:dyDescent="0.2">
      <c r="A438" s="207">
        <v>1433</v>
      </c>
      <c r="B438" s="207" t="s">
        <v>106</v>
      </c>
      <c r="C438" s="207" t="s">
        <v>550</v>
      </c>
      <c r="D438" s="207" t="s">
        <v>1229</v>
      </c>
      <c r="E438" s="281">
        <v>0</v>
      </c>
      <c r="F438" s="281"/>
      <c r="G438" s="282">
        <v>37629</v>
      </c>
      <c r="H438" s="351" t="str">
        <f t="shared" si="22"/>
        <v>Harry Liller</v>
      </c>
      <c r="I438" s="353">
        <f t="shared" si="23"/>
        <v>1433</v>
      </c>
      <c r="J438" s="353">
        <f t="shared" si="24"/>
        <v>37629</v>
      </c>
    </row>
    <row r="439" spans="1:10" x14ac:dyDescent="0.2">
      <c r="A439" s="207">
        <v>1434</v>
      </c>
      <c r="B439" s="207" t="s">
        <v>207</v>
      </c>
      <c r="C439" s="207" t="s">
        <v>550</v>
      </c>
      <c r="D439" s="207" t="s">
        <v>1229</v>
      </c>
      <c r="E439" s="281">
        <v>777064</v>
      </c>
      <c r="F439" s="281"/>
      <c r="G439" s="282">
        <v>24345</v>
      </c>
      <c r="H439" s="351" t="str">
        <f t="shared" si="22"/>
        <v>Simon Liller</v>
      </c>
      <c r="I439" s="353">
        <f t="shared" si="23"/>
        <v>1434</v>
      </c>
      <c r="J439" s="353">
        <f t="shared" si="24"/>
        <v>24345</v>
      </c>
    </row>
    <row r="440" spans="1:10" x14ac:dyDescent="0.2">
      <c r="A440" s="207">
        <v>1435</v>
      </c>
      <c r="B440" s="207" t="s">
        <v>766</v>
      </c>
      <c r="C440" s="207" t="s">
        <v>767</v>
      </c>
      <c r="D440" s="207" t="s">
        <v>1229</v>
      </c>
      <c r="E440" s="281">
        <v>0</v>
      </c>
      <c r="F440" s="281"/>
      <c r="G440" s="282">
        <v>37675</v>
      </c>
      <c r="H440" s="351" t="str">
        <f t="shared" si="22"/>
        <v>Carl O'Farrell</v>
      </c>
      <c r="I440" s="353">
        <f t="shared" si="23"/>
        <v>1435</v>
      </c>
      <c r="J440" s="353">
        <f t="shared" si="24"/>
        <v>37675</v>
      </c>
    </row>
    <row r="441" spans="1:10" x14ac:dyDescent="0.2">
      <c r="A441" s="207">
        <v>1436</v>
      </c>
      <c r="B441" s="207" t="s">
        <v>96</v>
      </c>
      <c r="C441" s="207" t="s">
        <v>850</v>
      </c>
      <c r="D441" s="207" t="s">
        <v>1229</v>
      </c>
      <c r="E441" s="281">
        <v>0</v>
      </c>
      <c r="F441" s="281"/>
      <c r="G441" s="282">
        <v>37967</v>
      </c>
      <c r="H441" s="351" t="str">
        <f t="shared" si="22"/>
        <v>Thomas Sampson</v>
      </c>
      <c r="I441" s="353">
        <f t="shared" si="23"/>
        <v>1436</v>
      </c>
      <c r="J441" s="353">
        <f t="shared" si="24"/>
        <v>37967</v>
      </c>
    </row>
    <row r="442" spans="1:10" x14ac:dyDescent="0.2">
      <c r="A442" s="207">
        <v>1437</v>
      </c>
      <c r="B442" s="207" t="s">
        <v>671</v>
      </c>
      <c r="C442" s="207" t="s">
        <v>851</v>
      </c>
      <c r="D442" s="207" t="s">
        <v>1229</v>
      </c>
      <c r="E442" s="281">
        <v>0</v>
      </c>
      <c r="F442" s="281"/>
      <c r="G442" s="282">
        <v>37726</v>
      </c>
      <c r="H442" s="351" t="str">
        <f t="shared" si="22"/>
        <v>Archie Thornton</v>
      </c>
      <c r="I442" s="353">
        <f t="shared" si="23"/>
        <v>1437</v>
      </c>
      <c r="J442" s="353">
        <f t="shared" si="24"/>
        <v>37726</v>
      </c>
    </row>
    <row r="443" spans="1:10" x14ac:dyDescent="0.2">
      <c r="A443" s="207">
        <v>1438</v>
      </c>
      <c r="B443" s="207" t="s">
        <v>788</v>
      </c>
      <c r="C443" s="207" t="s">
        <v>1230</v>
      </c>
      <c r="D443" s="207" t="s">
        <v>1231</v>
      </c>
      <c r="E443" s="281">
        <v>0</v>
      </c>
      <c r="F443" s="281"/>
      <c r="G443" s="282">
        <v>38135</v>
      </c>
      <c r="H443" s="351" t="str">
        <f t="shared" si="22"/>
        <v>Lukas Anstead</v>
      </c>
      <c r="I443" s="353">
        <f t="shared" si="23"/>
        <v>1438</v>
      </c>
      <c r="J443" s="353">
        <f t="shared" si="24"/>
        <v>38135</v>
      </c>
    </row>
    <row r="444" spans="1:10" x14ac:dyDescent="0.2">
      <c r="A444" s="207">
        <v>1439</v>
      </c>
      <c r="B444" s="207" t="s">
        <v>140</v>
      </c>
      <c r="C444" s="207" t="s">
        <v>474</v>
      </c>
      <c r="D444" s="207" t="s">
        <v>1231</v>
      </c>
      <c r="E444" s="281">
        <v>0</v>
      </c>
      <c r="F444" s="281" t="s">
        <v>35</v>
      </c>
      <c r="G444" s="282">
        <v>37765</v>
      </c>
      <c r="H444" s="351" t="str">
        <f t="shared" si="22"/>
        <v>Jessica Arnold</v>
      </c>
      <c r="I444" s="353">
        <f t="shared" si="23"/>
        <v>1439</v>
      </c>
      <c r="J444" s="353">
        <f t="shared" si="24"/>
        <v>37765</v>
      </c>
    </row>
    <row r="445" spans="1:10" x14ac:dyDescent="0.2">
      <c r="A445" s="207">
        <v>1440</v>
      </c>
      <c r="B445" s="207" t="s">
        <v>1232</v>
      </c>
      <c r="C445" s="207" t="s">
        <v>1233</v>
      </c>
      <c r="D445" s="207" t="s">
        <v>1231</v>
      </c>
      <c r="E445" s="281">
        <v>0</v>
      </c>
      <c r="F445" s="281" t="s">
        <v>35</v>
      </c>
      <c r="G445" s="282">
        <v>38590</v>
      </c>
      <c r="H445" s="351" t="str">
        <f t="shared" si="22"/>
        <v>Fiona Bourne</v>
      </c>
      <c r="I445" s="353">
        <f t="shared" si="23"/>
        <v>1440</v>
      </c>
      <c r="J445" s="353">
        <f t="shared" si="24"/>
        <v>38590</v>
      </c>
    </row>
    <row r="446" spans="1:10" x14ac:dyDescent="0.2">
      <c r="A446" s="207">
        <v>1441</v>
      </c>
      <c r="B446" s="207" t="s">
        <v>84</v>
      </c>
      <c r="C446" s="207" t="s">
        <v>1234</v>
      </c>
      <c r="D446" s="207" t="s">
        <v>1231</v>
      </c>
      <c r="E446" s="281">
        <v>0</v>
      </c>
      <c r="F446" s="281"/>
      <c r="G446" s="282">
        <v>37743</v>
      </c>
      <c r="H446" s="351" t="str">
        <f t="shared" si="22"/>
        <v>Sam Cross</v>
      </c>
      <c r="I446" s="353">
        <f t="shared" si="23"/>
        <v>1441</v>
      </c>
      <c r="J446" s="353">
        <f t="shared" si="24"/>
        <v>37743</v>
      </c>
    </row>
    <row r="447" spans="1:10" x14ac:dyDescent="0.2">
      <c r="A447" s="207">
        <v>1442</v>
      </c>
      <c r="B447" s="207" t="s">
        <v>59</v>
      </c>
      <c r="C447" s="207" t="s">
        <v>1235</v>
      </c>
      <c r="D447" s="207" t="s">
        <v>1231</v>
      </c>
      <c r="E447" s="281">
        <v>89679</v>
      </c>
      <c r="F447" s="281"/>
      <c r="G447" s="282">
        <v>23487</v>
      </c>
      <c r="H447" s="351" t="str">
        <f t="shared" si="22"/>
        <v>Andrew Glencross</v>
      </c>
      <c r="I447" s="353">
        <f t="shared" si="23"/>
        <v>1442</v>
      </c>
      <c r="J447" s="353">
        <f t="shared" si="24"/>
        <v>23487</v>
      </c>
    </row>
    <row r="448" spans="1:10" x14ac:dyDescent="0.2">
      <c r="A448" s="207">
        <v>1443</v>
      </c>
      <c r="B448" s="207" t="s">
        <v>542</v>
      </c>
      <c r="C448" s="207" t="s">
        <v>188</v>
      </c>
      <c r="D448" s="207" t="s">
        <v>1231</v>
      </c>
      <c r="E448" s="281">
        <v>0</v>
      </c>
      <c r="F448" s="281"/>
      <c r="G448" s="282">
        <v>37557</v>
      </c>
      <c r="H448" s="351" t="str">
        <f t="shared" si="22"/>
        <v>Guy Harrison</v>
      </c>
      <c r="I448" s="353">
        <f t="shared" si="23"/>
        <v>1443</v>
      </c>
      <c r="J448" s="353">
        <f t="shared" si="24"/>
        <v>37557</v>
      </c>
    </row>
    <row r="449" spans="1:10" x14ac:dyDescent="0.2">
      <c r="A449" s="207">
        <v>1444</v>
      </c>
      <c r="B449" s="207" t="s">
        <v>1236</v>
      </c>
      <c r="C449" s="207" t="s">
        <v>1237</v>
      </c>
      <c r="D449" s="207" t="s">
        <v>1231</v>
      </c>
      <c r="E449" s="281">
        <v>0</v>
      </c>
      <c r="F449" s="281"/>
      <c r="G449" s="282">
        <v>37573</v>
      </c>
      <c r="H449" s="351" t="str">
        <f t="shared" si="22"/>
        <v>Arrish Karin</v>
      </c>
      <c r="I449" s="353">
        <f t="shared" si="23"/>
        <v>1444</v>
      </c>
      <c r="J449" s="353">
        <f t="shared" si="24"/>
        <v>37573</v>
      </c>
    </row>
    <row r="450" spans="1:10" x14ac:dyDescent="0.2">
      <c r="A450" s="207">
        <v>1445</v>
      </c>
      <c r="B450" s="207" t="s">
        <v>96</v>
      </c>
      <c r="C450" s="207" t="s">
        <v>1238</v>
      </c>
      <c r="D450" s="207" t="s">
        <v>1231</v>
      </c>
      <c r="E450" s="281">
        <v>758081</v>
      </c>
      <c r="F450" s="281"/>
      <c r="G450" s="282">
        <v>32940</v>
      </c>
      <c r="H450" s="351" t="str">
        <f t="shared" si="22"/>
        <v>Thomas Oborski</v>
      </c>
      <c r="I450" s="353">
        <f t="shared" si="23"/>
        <v>1445</v>
      </c>
      <c r="J450" s="353">
        <f t="shared" si="24"/>
        <v>32940</v>
      </c>
    </row>
    <row r="451" spans="1:10" x14ac:dyDescent="0.2">
      <c r="A451" s="207">
        <v>1446</v>
      </c>
      <c r="B451" s="207" t="s">
        <v>104</v>
      </c>
      <c r="C451" s="207" t="s">
        <v>1239</v>
      </c>
      <c r="D451" s="207" t="s">
        <v>1231</v>
      </c>
      <c r="E451" s="281">
        <v>0</v>
      </c>
      <c r="F451" s="281"/>
      <c r="G451" s="282">
        <v>37574</v>
      </c>
      <c r="H451" s="351" t="str">
        <f t="shared" si="22"/>
        <v>Ben Turner</v>
      </c>
      <c r="I451" s="353">
        <f t="shared" si="23"/>
        <v>1446</v>
      </c>
      <c r="J451" s="353">
        <f t="shared" si="24"/>
        <v>37574</v>
      </c>
    </row>
    <row r="452" spans="1:10" x14ac:dyDescent="0.2">
      <c r="A452" s="207">
        <v>1447</v>
      </c>
      <c r="B452" s="207" t="s">
        <v>1240</v>
      </c>
      <c r="C452" s="207" t="s">
        <v>1241</v>
      </c>
      <c r="D452" s="207" t="s">
        <v>1231</v>
      </c>
      <c r="E452" s="281">
        <v>0</v>
      </c>
      <c r="F452" s="281"/>
      <c r="G452" s="282">
        <v>38561</v>
      </c>
      <c r="H452" s="351" t="str">
        <f t="shared" si="22"/>
        <v>Carwyn Witts</v>
      </c>
      <c r="I452" s="353">
        <f t="shared" si="23"/>
        <v>1447</v>
      </c>
      <c r="J452" s="353">
        <f t="shared" si="24"/>
        <v>38561</v>
      </c>
    </row>
    <row r="453" spans="1:10" x14ac:dyDescent="0.2">
      <c r="A453" s="207">
        <v>1448</v>
      </c>
      <c r="B453" s="207" t="s">
        <v>49</v>
      </c>
      <c r="C453" s="207" t="s">
        <v>1242</v>
      </c>
      <c r="D453" s="207" t="s">
        <v>1231</v>
      </c>
      <c r="E453" s="281">
        <v>0</v>
      </c>
      <c r="F453" s="281"/>
      <c r="G453" s="282">
        <v>37785</v>
      </c>
      <c r="H453" s="351" t="str">
        <f t="shared" si="22"/>
        <v>James Youde</v>
      </c>
      <c r="I453" s="353">
        <f t="shared" si="23"/>
        <v>1448</v>
      </c>
      <c r="J453" s="353">
        <f t="shared" si="24"/>
        <v>37785</v>
      </c>
    </row>
    <row r="454" spans="1:10" x14ac:dyDescent="0.2">
      <c r="A454" s="207">
        <v>1449</v>
      </c>
      <c r="B454" s="207" t="s">
        <v>66</v>
      </c>
      <c r="C454" s="207" t="s">
        <v>193</v>
      </c>
      <c r="D454" s="207" t="s">
        <v>709</v>
      </c>
      <c r="E454" s="281">
        <v>0</v>
      </c>
      <c r="F454" s="281"/>
      <c r="G454" s="282">
        <v>37689</v>
      </c>
      <c r="H454" s="351" t="str">
        <f t="shared" si="22"/>
        <v>Matthew Coleman</v>
      </c>
      <c r="I454" s="353">
        <f t="shared" si="23"/>
        <v>1449</v>
      </c>
      <c r="J454" s="353">
        <f t="shared" si="24"/>
        <v>37689</v>
      </c>
    </row>
    <row r="455" spans="1:10" x14ac:dyDescent="0.2">
      <c r="A455" s="207">
        <v>1450</v>
      </c>
      <c r="B455" s="207" t="s">
        <v>1243</v>
      </c>
      <c r="C455" s="207" t="s">
        <v>1244</v>
      </c>
      <c r="D455" s="207" t="s">
        <v>709</v>
      </c>
      <c r="E455" s="281">
        <v>0</v>
      </c>
      <c r="F455" s="281"/>
      <c r="G455" s="282">
        <v>38525</v>
      </c>
      <c r="H455" s="351" t="str">
        <f t="shared" si="22"/>
        <v>Tate Fletcher</v>
      </c>
      <c r="I455" s="353">
        <f t="shared" si="23"/>
        <v>1450</v>
      </c>
      <c r="J455" s="353">
        <f t="shared" si="24"/>
        <v>38525</v>
      </c>
    </row>
    <row r="456" spans="1:10" x14ac:dyDescent="0.2">
      <c r="A456" s="207">
        <v>1451</v>
      </c>
      <c r="B456" s="207" t="s">
        <v>104</v>
      </c>
      <c r="C456" s="207" t="s">
        <v>1245</v>
      </c>
      <c r="D456" s="207" t="s">
        <v>709</v>
      </c>
      <c r="E456" s="281">
        <v>0</v>
      </c>
      <c r="F456" s="281"/>
      <c r="G456" s="282">
        <v>37833</v>
      </c>
      <c r="H456" s="351" t="str">
        <f t="shared" si="22"/>
        <v>Ben Hayter</v>
      </c>
      <c r="I456" s="353">
        <f t="shared" si="23"/>
        <v>1451</v>
      </c>
      <c r="J456" s="353">
        <f t="shared" si="24"/>
        <v>37833</v>
      </c>
    </row>
    <row r="457" spans="1:10" x14ac:dyDescent="0.2">
      <c r="A457" s="207">
        <v>1452</v>
      </c>
      <c r="B457" s="207" t="s">
        <v>529</v>
      </c>
      <c r="C457" s="207" t="s">
        <v>141</v>
      </c>
      <c r="D457" s="207" t="s">
        <v>709</v>
      </c>
      <c r="E457" s="281">
        <v>0</v>
      </c>
      <c r="F457" s="281"/>
      <c r="G457" s="282">
        <v>37698</v>
      </c>
      <c r="H457" s="351" t="str">
        <f t="shared" ref="H457:H520" si="25">CONCATENATE(B457," ",C457)</f>
        <v>Ethan Hill</v>
      </c>
      <c r="I457" s="353">
        <f t="shared" ref="I457:I520" si="26">A457</f>
        <v>1452</v>
      </c>
      <c r="J457" s="353">
        <f t="shared" ref="J457:J520" si="27">G457</f>
        <v>37698</v>
      </c>
    </row>
    <row r="458" spans="1:10" x14ac:dyDescent="0.2">
      <c r="A458" s="207">
        <v>1453</v>
      </c>
      <c r="B458" s="207" t="s">
        <v>184</v>
      </c>
      <c r="C458" s="207" t="s">
        <v>796</v>
      </c>
      <c r="D458" s="207" t="s">
        <v>709</v>
      </c>
      <c r="E458" s="281">
        <v>0</v>
      </c>
      <c r="F458" s="281" t="s">
        <v>35</v>
      </c>
      <c r="G458" s="282">
        <v>37602</v>
      </c>
      <c r="H458" s="351" t="str">
        <f t="shared" si="25"/>
        <v>Eleanor Holmes</v>
      </c>
      <c r="I458" s="353">
        <f t="shared" si="26"/>
        <v>1453</v>
      </c>
      <c r="J458" s="353">
        <f t="shared" si="27"/>
        <v>37602</v>
      </c>
    </row>
    <row r="459" spans="1:10" x14ac:dyDescent="0.2">
      <c r="A459" s="207">
        <v>1454</v>
      </c>
      <c r="B459" s="207" t="s">
        <v>84</v>
      </c>
      <c r="C459" s="207" t="s">
        <v>1246</v>
      </c>
      <c r="D459" s="207" t="s">
        <v>709</v>
      </c>
      <c r="E459" s="281">
        <v>0</v>
      </c>
      <c r="F459" s="281"/>
      <c r="G459" s="282">
        <v>37684</v>
      </c>
      <c r="H459" s="351" t="str">
        <f t="shared" si="25"/>
        <v>Sam Logan</v>
      </c>
      <c r="I459" s="353">
        <f t="shared" si="26"/>
        <v>1454</v>
      </c>
      <c r="J459" s="353">
        <f t="shared" si="27"/>
        <v>37684</v>
      </c>
    </row>
    <row r="460" spans="1:10" x14ac:dyDescent="0.2">
      <c r="A460" s="207">
        <v>1455</v>
      </c>
      <c r="B460" s="207" t="s">
        <v>86</v>
      </c>
      <c r="C460" s="207" t="s">
        <v>1247</v>
      </c>
      <c r="D460" s="207" t="s">
        <v>709</v>
      </c>
      <c r="E460" s="281">
        <v>0</v>
      </c>
      <c r="F460" s="281" t="s">
        <v>35</v>
      </c>
      <c r="G460" s="282">
        <v>38499</v>
      </c>
      <c r="H460" s="351" t="str">
        <f t="shared" si="25"/>
        <v>Katie Osang</v>
      </c>
      <c r="I460" s="353">
        <f t="shared" si="26"/>
        <v>1455</v>
      </c>
      <c r="J460" s="353">
        <f t="shared" si="27"/>
        <v>38499</v>
      </c>
    </row>
    <row r="461" spans="1:10" x14ac:dyDescent="0.2">
      <c r="A461" s="207">
        <v>1456</v>
      </c>
      <c r="B461" s="207" t="s">
        <v>49</v>
      </c>
      <c r="C461" s="207" t="s">
        <v>932</v>
      </c>
      <c r="D461" s="207" t="s">
        <v>709</v>
      </c>
      <c r="E461" s="281">
        <v>0</v>
      </c>
      <c r="F461" s="281"/>
      <c r="G461" s="282">
        <v>36668</v>
      </c>
      <c r="H461" s="351" t="str">
        <f t="shared" si="25"/>
        <v>James Price</v>
      </c>
      <c r="I461" s="353">
        <f t="shared" si="26"/>
        <v>1456</v>
      </c>
      <c r="J461" s="353">
        <f t="shared" si="27"/>
        <v>36668</v>
      </c>
    </row>
    <row r="462" spans="1:10" x14ac:dyDescent="0.2">
      <c r="A462" s="207">
        <v>1457</v>
      </c>
      <c r="B462" s="207" t="s">
        <v>936</v>
      </c>
      <c r="C462" s="207" t="s">
        <v>73</v>
      </c>
      <c r="D462" s="207" t="s">
        <v>1248</v>
      </c>
      <c r="E462" s="281">
        <v>0</v>
      </c>
      <c r="F462" s="281" t="s">
        <v>35</v>
      </c>
      <c r="G462" s="282">
        <v>37390</v>
      </c>
      <c r="H462" s="351" t="str">
        <f t="shared" si="25"/>
        <v>Tamzin Nicholas</v>
      </c>
      <c r="I462" s="353">
        <f t="shared" si="26"/>
        <v>1457</v>
      </c>
      <c r="J462" s="353">
        <f t="shared" si="27"/>
        <v>37390</v>
      </c>
    </row>
    <row r="463" spans="1:10" x14ac:dyDescent="0.2">
      <c r="A463" s="207">
        <v>1458</v>
      </c>
      <c r="B463" s="207" t="s">
        <v>933</v>
      </c>
      <c r="C463" s="207" t="s">
        <v>934</v>
      </c>
      <c r="D463" s="207" t="s">
        <v>1248</v>
      </c>
      <c r="E463" s="281">
        <v>0</v>
      </c>
      <c r="F463" s="281" t="s">
        <v>35</v>
      </c>
      <c r="G463" s="282">
        <v>37177</v>
      </c>
      <c r="H463" s="351" t="str">
        <f t="shared" si="25"/>
        <v>Sofia Riglia</v>
      </c>
      <c r="I463" s="353">
        <f t="shared" si="26"/>
        <v>1458</v>
      </c>
      <c r="J463" s="353">
        <f t="shared" si="27"/>
        <v>37177</v>
      </c>
    </row>
    <row r="464" spans="1:10" x14ac:dyDescent="0.2">
      <c r="A464" s="207">
        <v>1459</v>
      </c>
      <c r="B464" s="207" t="s">
        <v>99</v>
      </c>
      <c r="C464" s="207" t="s">
        <v>918</v>
      </c>
      <c r="D464" s="207" t="s">
        <v>676</v>
      </c>
      <c r="E464" s="281">
        <v>0</v>
      </c>
      <c r="F464" s="281"/>
      <c r="G464" s="282">
        <v>37753</v>
      </c>
      <c r="H464" s="351" t="str">
        <f t="shared" si="25"/>
        <v>Oliver Barnaby</v>
      </c>
      <c r="I464" s="353">
        <f t="shared" si="26"/>
        <v>1459</v>
      </c>
      <c r="J464" s="353">
        <f t="shared" si="27"/>
        <v>37753</v>
      </c>
    </row>
    <row r="465" spans="1:10" x14ac:dyDescent="0.2">
      <c r="A465" s="207">
        <v>1460</v>
      </c>
      <c r="B465" s="207" t="s">
        <v>665</v>
      </c>
      <c r="C465" s="207" t="s">
        <v>770</v>
      </c>
      <c r="D465" s="207" t="s">
        <v>676</v>
      </c>
      <c r="E465" s="281">
        <v>0</v>
      </c>
      <c r="F465" s="281" t="s">
        <v>35</v>
      </c>
      <c r="G465" s="282">
        <v>37719</v>
      </c>
      <c r="H465" s="351" t="str">
        <f t="shared" si="25"/>
        <v>Alice Beattie</v>
      </c>
      <c r="I465" s="353">
        <f t="shared" si="26"/>
        <v>1460</v>
      </c>
      <c r="J465" s="353">
        <f t="shared" si="27"/>
        <v>37719</v>
      </c>
    </row>
    <row r="466" spans="1:10" x14ac:dyDescent="0.2">
      <c r="A466" s="207">
        <v>1461</v>
      </c>
      <c r="B466" s="207" t="s">
        <v>200</v>
      </c>
      <c r="C466" s="207" t="s">
        <v>477</v>
      </c>
      <c r="D466" s="207" t="s">
        <v>676</v>
      </c>
      <c r="E466" s="281">
        <v>0</v>
      </c>
      <c r="F466" s="281" t="s">
        <v>35</v>
      </c>
      <c r="G466" s="282">
        <v>37587</v>
      </c>
      <c r="H466" s="351" t="str">
        <f t="shared" si="25"/>
        <v>Hannah Lee</v>
      </c>
      <c r="I466" s="353">
        <f t="shared" si="26"/>
        <v>1461</v>
      </c>
      <c r="J466" s="353">
        <f t="shared" si="27"/>
        <v>37587</v>
      </c>
    </row>
    <row r="467" spans="1:10" x14ac:dyDescent="0.2">
      <c r="A467" s="207">
        <v>1462</v>
      </c>
      <c r="B467" s="207" t="s">
        <v>143</v>
      </c>
      <c r="C467" s="207" t="s">
        <v>121</v>
      </c>
      <c r="D467" s="207" t="s">
        <v>676</v>
      </c>
      <c r="E467" s="281">
        <v>0</v>
      </c>
      <c r="F467" s="281" t="s">
        <v>35</v>
      </c>
      <c r="G467" s="282">
        <v>37520</v>
      </c>
      <c r="H467" s="351" t="str">
        <f t="shared" si="25"/>
        <v>Lily Martin</v>
      </c>
      <c r="I467" s="353">
        <f t="shared" si="26"/>
        <v>1462</v>
      </c>
      <c r="J467" s="353">
        <f t="shared" si="27"/>
        <v>37520</v>
      </c>
    </row>
    <row r="468" spans="1:10" x14ac:dyDescent="0.2">
      <c r="A468" s="207">
        <v>1463</v>
      </c>
      <c r="B468" s="207" t="s">
        <v>1249</v>
      </c>
      <c r="C468" s="207" t="s">
        <v>121</v>
      </c>
      <c r="D468" s="207" t="s">
        <v>676</v>
      </c>
      <c r="E468" s="281">
        <v>0</v>
      </c>
      <c r="F468" s="281" t="s">
        <v>35</v>
      </c>
      <c r="G468" s="282">
        <v>38476</v>
      </c>
      <c r="H468" s="351" t="str">
        <f t="shared" si="25"/>
        <v>Ruby Martin</v>
      </c>
      <c r="I468" s="353">
        <f t="shared" si="26"/>
        <v>1463</v>
      </c>
      <c r="J468" s="353">
        <f t="shared" si="27"/>
        <v>38476</v>
      </c>
    </row>
    <row r="469" spans="1:10" x14ac:dyDescent="0.2">
      <c r="A469" s="207">
        <v>1464</v>
      </c>
      <c r="B469" s="207" t="s">
        <v>96</v>
      </c>
      <c r="C469" s="207" t="s">
        <v>921</v>
      </c>
      <c r="D469" s="207" t="s">
        <v>676</v>
      </c>
      <c r="E469" s="281">
        <v>0</v>
      </c>
      <c r="F469" s="281"/>
      <c r="G469" s="282">
        <v>38169</v>
      </c>
      <c r="H469" s="351" t="str">
        <f t="shared" si="25"/>
        <v>Thomas Pool</v>
      </c>
      <c r="I469" s="353">
        <f t="shared" si="26"/>
        <v>1464</v>
      </c>
      <c r="J469" s="353">
        <f t="shared" si="27"/>
        <v>38169</v>
      </c>
    </row>
    <row r="470" spans="1:10" x14ac:dyDescent="0.2">
      <c r="A470" s="207">
        <v>1465</v>
      </c>
      <c r="B470" s="207" t="s">
        <v>41</v>
      </c>
      <c r="C470" s="207" t="s">
        <v>677</v>
      </c>
      <c r="D470" s="207" t="s">
        <v>676</v>
      </c>
      <c r="E470" s="281"/>
      <c r="F470" s="281"/>
      <c r="G470" s="282">
        <v>36913</v>
      </c>
      <c r="H470" s="351" t="str">
        <f t="shared" si="25"/>
        <v>Toby Stent</v>
      </c>
      <c r="I470" s="353">
        <f t="shared" si="26"/>
        <v>1465</v>
      </c>
      <c r="J470" s="353">
        <f t="shared" si="27"/>
        <v>36913</v>
      </c>
    </row>
    <row r="471" spans="1:10" x14ac:dyDescent="0.2">
      <c r="A471" s="207">
        <v>1466</v>
      </c>
      <c r="B471" s="207" t="s">
        <v>151</v>
      </c>
      <c r="C471" s="207" t="s">
        <v>769</v>
      </c>
      <c r="D471" s="207" t="s">
        <v>676</v>
      </c>
      <c r="E471" s="281">
        <v>0</v>
      </c>
      <c r="F471" s="281"/>
      <c r="G471" s="282">
        <v>37442</v>
      </c>
      <c r="H471" s="351" t="str">
        <f t="shared" si="25"/>
        <v>Ryan Slater</v>
      </c>
      <c r="I471" s="353">
        <f t="shared" si="26"/>
        <v>1466</v>
      </c>
      <c r="J471" s="353">
        <f t="shared" si="27"/>
        <v>37442</v>
      </c>
    </row>
    <row r="472" spans="1:10" x14ac:dyDescent="0.2">
      <c r="A472" s="207">
        <v>1467</v>
      </c>
      <c r="B472" s="207" t="s">
        <v>920</v>
      </c>
      <c r="C472" s="207" t="s">
        <v>677</v>
      </c>
      <c r="D472" s="207" t="s">
        <v>676</v>
      </c>
      <c r="E472" s="281">
        <v>658923</v>
      </c>
      <c r="F472" s="281"/>
      <c r="G472" s="282">
        <v>27065</v>
      </c>
      <c r="H472" s="351" t="str">
        <f t="shared" si="25"/>
        <v>David (Jnr) Stent</v>
      </c>
      <c r="I472" s="353">
        <f t="shared" si="26"/>
        <v>1467</v>
      </c>
      <c r="J472" s="353">
        <f t="shared" si="27"/>
        <v>27065</v>
      </c>
    </row>
    <row r="473" spans="1:10" x14ac:dyDescent="0.2">
      <c r="A473" s="207">
        <v>1468</v>
      </c>
      <c r="B473" s="207" t="s">
        <v>922</v>
      </c>
      <c r="C473" s="207" t="s">
        <v>919</v>
      </c>
      <c r="D473" s="207" t="s">
        <v>676</v>
      </c>
      <c r="E473" s="281">
        <v>0</v>
      </c>
      <c r="F473" s="281" t="s">
        <v>35</v>
      </c>
      <c r="G473" s="282">
        <v>38465</v>
      </c>
      <c r="H473" s="351" t="str">
        <f t="shared" si="25"/>
        <v>Katrina Stephens</v>
      </c>
      <c r="I473" s="353">
        <f t="shared" si="26"/>
        <v>1468</v>
      </c>
      <c r="J473" s="353">
        <f t="shared" si="27"/>
        <v>38465</v>
      </c>
    </row>
    <row r="474" spans="1:10" x14ac:dyDescent="0.2">
      <c r="A474" s="207">
        <v>1469</v>
      </c>
      <c r="B474" s="207" t="s">
        <v>64</v>
      </c>
      <c r="C474" s="207" t="s">
        <v>919</v>
      </c>
      <c r="D474" s="207" t="s">
        <v>676</v>
      </c>
      <c r="E474" s="281">
        <v>789213</v>
      </c>
      <c r="F474" s="281"/>
      <c r="G474" s="282">
        <v>23807</v>
      </c>
      <c r="H474" s="351" t="str">
        <f t="shared" si="25"/>
        <v>Richard Stephens</v>
      </c>
      <c r="I474" s="353">
        <f t="shared" si="26"/>
        <v>1469</v>
      </c>
      <c r="J474" s="353">
        <f t="shared" si="27"/>
        <v>23807</v>
      </c>
    </row>
    <row r="475" spans="1:10" x14ac:dyDescent="0.2">
      <c r="A475" s="207">
        <v>1470</v>
      </c>
      <c r="B475" s="207" t="s">
        <v>47</v>
      </c>
      <c r="C475" s="207" t="s">
        <v>774</v>
      </c>
      <c r="D475" s="207" t="s">
        <v>1250</v>
      </c>
      <c r="E475" s="281">
        <v>862417</v>
      </c>
      <c r="F475" s="281"/>
      <c r="G475" s="282">
        <v>26868</v>
      </c>
      <c r="H475" s="351" t="str">
        <f t="shared" si="25"/>
        <v>Stephen Batchelor</v>
      </c>
      <c r="I475" s="353">
        <f t="shared" si="26"/>
        <v>1470</v>
      </c>
      <c r="J475" s="353">
        <f t="shared" si="27"/>
        <v>26868</v>
      </c>
    </row>
    <row r="476" spans="1:10" x14ac:dyDescent="0.2">
      <c r="A476" s="207">
        <v>1471</v>
      </c>
      <c r="B476" s="207" t="s">
        <v>778</v>
      </c>
      <c r="C476" s="207" t="s">
        <v>779</v>
      </c>
      <c r="D476" s="207" t="s">
        <v>1250</v>
      </c>
      <c r="E476" s="281">
        <v>180188</v>
      </c>
      <c r="F476" s="281" t="s">
        <v>35</v>
      </c>
      <c r="G476" s="282">
        <v>18102</v>
      </c>
      <c r="H476" s="351" t="str">
        <f t="shared" si="25"/>
        <v>Pamela Chalk</v>
      </c>
      <c r="I476" s="353">
        <f t="shared" si="26"/>
        <v>1471</v>
      </c>
      <c r="J476" s="353">
        <f t="shared" si="27"/>
        <v>18102</v>
      </c>
    </row>
    <row r="477" spans="1:10" x14ac:dyDescent="0.2">
      <c r="A477" s="207">
        <v>1472</v>
      </c>
      <c r="B477" s="207" t="s">
        <v>726</v>
      </c>
      <c r="C477" s="207" t="s">
        <v>1063</v>
      </c>
      <c r="D477" s="207" t="s">
        <v>1250</v>
      </c>
      <c r="E477" s="281">
        <v>215261</v>
      </c>
      <c r="F477" s="281"/>
      <c r="G477" s="282">
        <v>24994</v>
      </c>
      <c r="H477" s="351" t="str">
        <f t="shared" si="25"/>
        <v>Tony Moles</v>
      </c>
      <c r="I477" s="353">
        <f t="shared" si="26"/>
        <v>1472</v>
      </c>
      <c r="J477" s="353">
        <f t="shared" si="27"/>
        <v>24994</v>
      </c>
    </row>
    <row r="478" spans="1:10" x14ac:dyDescent="0.2">
      <c r="A478" s="207">
        <v>1473</v>
      </c>
      <c r="B478" s="207" t="s">
        <v>699</v>
      </c>
      <c r="C478" s="207" t="s">
        <v>774</v>
      </c>
      <c r="D478" s="207" t="s">
        <v>1250</v>
      </c>
      <c r="E478" s="281">
        <v>0</v>
      </c>
      <c r="F478" s="281" t="s">
        <v>35</v>
      </c>
      <c r="G478" s="282">
        <v>37025</v>
      </c>
      <c r="H478" s="351" t="str">
        <f t="shared" si="25"/>
        <v>Lauren Batchelor</v>
      </c>
      <c r="I478" s="353">
        <f t="shared" si="26"/>
        <v>1473</v>
      </c>
      <c r="J478" s="353">
        <f t="shared" si="27"/>
        <v>37025</v>
      </c>
    </row>
    <row r="479" spans="1:10" x14ac:dyDescent="0.2">
      <c r="A479" s="207">
        <v>1474</v>
      </c>
      <c r="B479" s="207" t="s">
        <v>66</v>
      </c>
      <c r="C479" s="207" t="s">
        <v>774</v>
      </c>
      <c r="D479" s="207" t="s">
        <v>1250</v>
      </c>
      <c r="E479" s="281">
        <v>0</v>
      </c>
      <c r="F479" s="281"/>
      <c r="G479" s="282">
        <v>38220</v>
      </c>
      <c r="H479" s="351" t="str">
        <f t="shared" si="25"/>
        <v>Matthew Batchelor</v>
      </c>
      <c r="I479" s="353">
        <f t="shared" si="26"/>
        <v>1474</v>
      </c>
      <c r="J479" s="353">
        <f t="shared" si="27"/>
        <v>38220</v>
      </c>
    </row>
    <row r="480" spans="1:10" x14ac:dyDescent="0.2">
      <c r="A480" s="207">
        <v>1475</v>
      </c>
      <c r="B480" s="207" t="s">
        <v>776</v>
      </c>
      <c r="C480" s="207" t="s">
        <v>503</v>
      </c>
      <c r="D480" s="207" t="s">
        <v>1250</v>
      </c>
      <c r="E480" s="281">
        <v>0</v>
      </c>
      <c r="F480" s="281" t="s">
        <v>35</v>
      </c>
      <c r="G480" s="282">
        <v>37055</v>
      </c>
      <c r="H480" s="351" t="str">
        <f t="shared" si="25"/>
        <v>Hollie Bowers</v>
      </c>
      <c r="I480" s="353">
        <f t="shared" si="26"/>
        <v>1475</v>
      </c>
      <c r="J480" s="353">
        <f t="shared" si="27"/>
        <v>37055</v>
      </c>
    </row>
    <row r="481" spans="1:10" x14ac:dyDescent="0.2">
      <c r="A481" s="207">
        <v>1476</v>
      </c>
      <c r="B481" s="207" t="s">
        <v>75</v>
      </c>
      <c r="C481" s="207" t="s">
        <v>503</v>
      </c>
      <c r="D481" s="207" t="s">
        <v>1250</v>
      </c>
      <c r="E481" s="281">
        <v>0</v>
      </c>
      <c r="F481" s="281"/>
      <c r="G481" s="282">
        <v>36211</v>
      </c>
      <c r="H481" s="351" t="str">
        <f t="shared" si="25"/>
        <v>Luke Bowers</v>
      </c>
      <c r="I481" s="353">
        <f t="shared" si="26"/>
        <v>1476</v>
      </c>
      <c r="J481" s="353">
        <f t="shared" si="27"/>
        <v>36211</v>
      </c>
    </row>
    <row r="482" spans="1:10" x14ac:dyDescent="0.2">
      <c r="A482" s="207">
        <v>1477</v>
      </c>
      <c r="B482" s="207" t="s">
        <v>861</v>
      </c>
      <c r="C482" s="207" t="s">
        <v>622</v>
      </c>
      <c r="D482" s="207" t="s">
        <v>1250</v>
      </c>
      <c r="E482" s="281">
        <v>0</v>
      </c>
      <c r="F482" s="281" t="s">
        <v>35</v>
      </c>
      <c r="G482" s="282">
        <v>36399</v>
      </c>
      <c r="H482" s="351" t="str">
        <f t="shared" si="25"/>
        <v>Jasmin Elliott</v>
      </c>
      <c r="I482" s="353">
        <f t="shared" si="26"/>
        <v>1477</v>
      </c>
      <c r="J482" s="353">
        <f t="shared" si="27"/>
        <v>36399</v>
      </c>
    </row>
    <row r="483" spans="1:10" x14ac:dyDescent="0.2">
      <c r="A483" s="207">
        <v>1478</v>
      </c>
      <c r="B483" s="207" t="s">
        <v>1251</v>
      </c>
      <c r="C483" s="207" t="s">
        <v>622</v>
      </c>
      <c r="D483" s="207" t="s">
        <v>1250</v>
      </c>
      <c r="E483" s="281">
        <v>0</v>
      </c>
      <c r="F483" s="281" t="s">
        <v>35</v>
      </c>
      <c r="G483" s="282">
        <v>36399</v>
      </c>
      <c r="H483" s="351" t="str">
        <f t="shared" si="25"/>
        <v>Sophia Elliott</v>
      </c>
      <c r="I483" s="353">
        <f t="shared" si="26"/>
        <v>1478</v>
      </c>
      <c r="J483" s="353">
        <f t="shared" si="27"/>
        <v>36399</v>
      </c>
    </row>
    <row r="484" spans="1:10" x14ac:dyDescent="0.2">
      <c r="A484" s="207">
        <v>1479</v>
      </c>
      <c r="B484" s="207" t="s">
        <v>103</v>
      </c>
      <c r="C484" s="207" t="s">
        <v>777</v>
      </c>
      <c r="D484" s="207" t="s">
        <v>1250</v>
      </c>
      <c r="E484" s="281">
        <v>0</v>
      </c>
      <c r="F484" s="281"/>
      <c r="G484" s="282">
        <v>36716</v>
      </c>
      <c r="H484" s="351" t="str">
        <f t="shared" si="25"/>
        <v>Nathan Humphries</v>
      </c>
      <c r="I484" s="353">
        <f t="shared" si="26"/>
        <v>1479</v>
      </c>
      <c r="J484" s="353">
        <f t="shared" si="27"/>
        <v>36716</v>
      </c>
    </row>
    <row r="485" spans="1:10" x14ac:dyDescent="0.2">
      <c r="A485" s="207">
        <v>1480</v>
      </c>
      <c r="B485" s="207" t="s">
        <v>46</v>
      </c>
      <c r="C485" s="207" t="s">
        <v>775</v>
      </c>
      <c r="D485" s="207" t="s">
        <v>1250</v>
      </c>
      <c r="E485" s="281">
        <v>0</v>
      </c>
      <c r="F485" s="281"/>
      <c r="G485" s="282">
        <v>37609</v>
      </c>
      <c r="H485" s="351" t="str">
        <f t="shared" si="25"/>
        <v>Alex Lovett</v>
      </c>
      <c r="I485" s="353">
        <f t="shared" si="26"/>
        <v>1480</v>
      </c>
      <c r="J485" s="353">
        <f t="shared" si="27"/>
        <v>37609</v>
      </c>
    </row>
    <row r="486" spans="1:10" x14ac:dyDescent="0.2">
      <c r="A486" s="207">
        <v>1481</v>
      </c>
      <c r="B486" s="207" t="s">
        <v>131</v>
      </c>
      <c r="C486" s="207" t="s">
        <v>924</v>
      </c>
      <c r="D486" s="207" t="s">
        <v>1250</v>
      </c>
      <c r="E486" s="281">
        <v>0</v>
      </c>
      <c r="F486" s="281"/>
      <c r="G486" s="282">
        <v>36894</v>
      </c>
      <c r="H486" s="351" t="str">
        <f t="shared" si="25"/>
        <v>Colin Mccann</v>
      </c>
      <c r="I486" s="353">
        <f t="shared" si="26"/>
        <v>1481</v>
      </c>
      <c r="J486" s="353">
        <f t="shared" si="27"/>
        <v>36894</v>
      </c>
    </row>
    <row r="487" spans="1:10" x14ac:dyDescent="0.2">
      <c r="A487" s="207">
        <v>1482</v>
      </c>
      <c r="B487" s="207" t="s">
        <v>69</v>
      </c>
      <c r="C487" s="207" t="s">
        <v>1252</v>
      </c>
      <c r="D487" s="207" t="s">
        <v>1250</v>
      </c>
      <c r="E487" s="281">
        <v>0</v>
      </c>
      <c r="F487" s="281"/>
      <c r="G487" s="282">
        <v>37059</v>
      </c>
      <c r="H487" s="351" t="str">
        <f t="shared" si="25"/>
        <v>David Mcfaull</v>
      </c>
      <c r="I487" s="353">
        <f t="shared" si="26"/>
        <v>1482</v>
      </c>
      <c r="J487" s="353">
        <f t="shared" si="27"/>
        <v>37059</v>
      </c>
    </row>
    <row r="488" spans="1:10" x14ac:dyDescent="0.2">
      <c r="A488" s="207">
        <v>1483</v>
      </c>
      <c r="B488" s="207" t="s">
        <v>227</v>
      </c>
      <c r="C488" s="207" t="s">
        <v>228</v>
      </c>
      <c r="D488" s="207" t="s">
        <v>1253</v>
      </c>
      <c r="E488" s="281">
        <v>305597</v>
      </c>
      <c r="F488" s="281"/>
      <c r="G488" s="282"/>
      <c r="H488" s="351" t="str">
        <f t="shared" si="25"/>
        <v>Adrian Baines</v>
      </c>
      <c r="I488" s="353">
        <f t="shared" si="26"/>
        <v>1483</v>
      </c>
      <c r="J488" s="353">
        <f t="shared" si="27"/>
        <v>0</v>
      </c>
    </row>
    <row r="489" spans="1:10" x14ac:dyDescent="0.2">
      <c r="A489" s="207">
        <v>1484</v>
      </c>
      <c r="B489" s="207" t="s">
        <v>120</v>
      </c>
      <c r="C489" s="207" t="s">
        <v>161</v>
      </c>
      <c r="D489" s="207" t="s">
        <v>1253</v>
      </c>
      <c r="E489" s="281">
        <v>302473</v>
      </c>
      <c r="F489" s="281"/>
      <c r="G489" s="282"/>
      <c r="H489" s="351" t="str">
        <f t="shared" si="25"/>
        <v>Craig Richardson</v>
      </c>
      <c r="I489" s="353">
        <f t="shared" si="26"/>
        <v>1484</v>
      </c>
      <c r="J489" s="353">
        <f t="shared" si="27"/>
        <v>0</v>
      </c>
    </row>
    <row r="490" spans="1:10" x14ac:dyDescent="0.2">
      <c r="A490" s="207">
        <v>1485</v>
      </c>
      <c r="B490" s="207" t="s">
        <v>49</v>
      </c>
      <c r="C490" s="207" t="s">
        <v>161</v>
      </c>
      <c r="D490" s="207" t="s">
        <v>1253</v>
      </c>
      <c r="E490" s="281">
        <v>681089</v>
      </c>
      <c r="F490" s="281"/>
      <c r="G490" s="282"/>
      <c r="H490" s="351" t="str">
        <f t="shared" si="25"/>
        <v>James Richardson</v>
      </c>
      <c r="I490" s="353">
        <f t="shared" si="26"/>
        <v>1485</v>
      </c>
      <c r="J490" s="353">
        <f t="shared" si="27"/>
        <v>0</v>
      </c>
    </row>
    <row r="491" spans="1:10" x14ac:dyDescent="0.2">
      <c r="A491" s="207">
        <v>1486</v>
      </c>
      <c r="B491" s="207" t="s">
        <v>129</v>
      </c>
      <c r="C491" s="207" t="s">
        <v>646</v>
      </c>
      <c r="D491" s="207" t="s">
        <v>1253</v>
      </c>
      <c r="E491" s="281">
        <v>0</v>
      </c>
      <c r="F491" s="281"/>
      <c r="G491" s="282">
        <v>36707</v>
      </c>
      <c r="H491" s="351" t="str">
        <f t="shared" si="25"/>
        <v>Tom Marsh</v>
      </c>
      <c r="I491" s="353">
        <f t="shared" si="26"/>
        <v>1486</v>
      </c>
      <c r="J491" s="353">
        <f t="shared" si="27"/>
        <v>36707</v>
      </c>
    </row>
    <row r="492" spans="1:10" x14ac:dyDescent="0.2">
      <c r="A492" s="207">
        <v>1487</v>
      </c>
      <c r="B492" s="207" t="s">
        <v>85</v>
      </c>
      <c r="C492" s="207" t="s">
        <v>520</v>
      </c>
      <c r="D492" s="207" t="s">
        <v>1253</v>
      </c>
      <c r="E492" s="281">
        <v>0</v>
      </c>
      <c r="F492" s="281"/>
      <c r="G492" s="282">
        <v>36321</v>
      </c>
      <c r="H492" s="351" t="str">
        <f t="shared" si="25"/>
        <v>Max Moore</v>
      </c>
      <c r="I492" s="353">
        <f t="shared" si="26"/>
        <v>1487</v>
      </c>
      <c r="J492" s="353">
        <f t="shared" si="27"/>
        <v>36321</v>
      </c>
    </row>
    <row r="493" spans="1:10" x14ac:dyDescent="0.2">
      <c r="A493" s="207">
        <v>1488</v>
      </c>
      <c r="B493" s="207" t="s">
        <v>133</v>
      </c>
      <c r="C493" s="207" t="s">
        <v>229</v>
      </c>
      <c r="D493" s="207" t="s">
        <v>1253</v>
      </c>
      <c r="E493" s="281">
        <v>11370256</v>
      </c>
      <c r="F493" s="281"/>
      <c r="G493" s="282">
        <v>35675</v>
      </c>
      <c r="H493" s="351" t="str">
        <f t="shared" si="25"/>
        <v>Adam Sandle</v>
      </c>
      <c r="I493" s="353">
        <f t="shared" si="26"/>
        <v>1488</v>
      </c>
      <c r="J493" s="353">
        <f t="shared" si="27"/>
        <v>35675</v>
      </c>
    </row>
    <row r="494" spans="1:10" x14ac:dyDescent="0.2">
      <c r="A494" s="207">
        <v>1489</v>
      </c>
      <c r="B494" s="207" t="s">
        <v>92</v>
      </c>
      <c r="C494" s="207" t="s">
        <v>161</v>
      </c>
      <c r="D494" s="207" t="s">
        <v>923</v>
      </c>
      <c r="E494" s="281">
        <v>689376</v>
      </c>
      <c r="F494" s="281"/>
      <c r="G494" s="282">
        <v>19996</v>
      </c>
      <c r="H494" s="351" t="str">
        <f t="shared" si="25"/>
        <v>Paul Richardson</v>
      </c>
      <c r="I494" s="353">
        <f t="shared" si="26"/>
        <v>1489</v>
      </c>
      <c r="J494" s="353">
        <f t="shared" si="27"/>
        <v>19996</v>
      </c>
    </row>
    <row r="495" spans="1:10" x14ac:dyDescent="0.2">
      <c r="A495" s="207">
        <v>1490</v>
      </c>
      <c r="B495" s="207" t="s">
        <v>173</v>
      </c>
      <c r="C495" s="207" t="s">
        <v>1244</v>
      </c>
      <c r="D495" s="207" t="s">
        <v>1254</v>
      </c>
      <c r="E495" s="281">
        <v>0</v>
      </c>
      <c r="F495" s="281" t="s">
        <v>35</v>
      </c>
      <c r="G495" s="282">
        <v>37641</v>
      </c>
      <c r="H495" s="351" t="str">
        <f t="shared" si="25"/>
        <v>Ella Fletcher</v>
      </c>
      <c r="I495" s="353">
        <f t="shared" si="26"/>
        <v>1490</v>
      </c>
      <c r="J495" s="353">
        <f t="shared" si="27"/>
        <v>37641</v>
      </c>
    </row>
    <row r="496" spans="1:10" x14ac:dyDescent="0.2">
      <c r="A496" s="207">
        <v>1491</v>
      </c>
      <c r="B496" s="207" t="s">
        <v>46</v>
      </c>
      <c r="C496" s="207" t="s">
        <v>1255</v>
      </c>
      <c r="D496" s="207" t="s">
        <v>1256</v>
      </c>
      <c r="E496" s="281">
        <v>0</v>
      </c>
      <c r="F496" s="281"/>
      <c r="G496" s="282">
        <v>38224</v>
      </c>
      <c r="H496" s="351" t="str">
        <f t="shared" si="25"/>
        <v>Alex Cole</v>
      </c>
      <c r="I496" s="353">
        <f t="shared" si="26"/>
        <v>1491</v>
      </c>
      <c r="J496" s="353">
        <f t="shared" si="27"/>
        <v>38224</v>
      </c>
    </row>
    <row r="497" spans="1:10" x14ac:dyDescent="0.2">
      <c r="A497" s="207">
        <v>1492</v>
      </c>
      <c r="B497" s="207" t="s">
        <v>49</v>
      </c>
      <c r="C497" s="207" t="s">
        <v>1190</v>
      </c>
      <c r="D497" s="207" t="s">
        <v>1257</v>
      </c>
      <c r="E497" s="281">
        <v>0</v>
      </c>
      <c r="F497" s="281"/>
      <c r="G497" s="282">
        <v>36938</v>
      </c>
      <c r="H497" s="351" t="str">
        <f t="shared" si="25"/>
        <v>James Baxter</v>
      </c>
      <c r="I497" s="353">
        <f t="shared" si="26"/>
        <v>1492</v>
      </c>
      <c r="J497" s="353">
        <f t="shared" si="27"/>
        <v>36938</v>
      </c>
    </row>
    <row r="498" spans="1:10" x14ac:dyDescent="0.2">
      <c r="A498" s="207">
        <v>1493</v>
      </c>
      <c r="B498" s="207" t="s">
        <v>671</v>
      </c>
      <c r="C498" s="207" t="s">
        <v>1244</v>
      </c>
      <c r="D498" s="207" t="s">
        <v>1254</v>
      </c>
      <c r="E498" s="281"/>
      <c r="F498" s="281"/>
      <c r="G498" s="282">
        <v>38345</v>
      </c>
      <c r="H498" s="351" t="str">
        <f t="shared" si="25"/>
        <v>Archie Fletcher</v>
      </c>
      <c r="I498" s="353">
        <f t="shared" si="26"/>
        <v>1493</v>
      </c>
      <c r="J498" s="353">
        <f t="shared" si="27"/>
        <v>38345</v>
      </c>
    </row>
    <row r="499" spans="1:10" x14ac:dyDescent="0.2">
      <c r="A499" s="207">
        <v>1494</v>
      </c>
      <c r="B499" s="207" t="s">
        <v>1258</v>
      </c>
      <c r="C499" s="207" t="s">
        <v>1259</v>
      </c>
      <c r="D499" s="207" t="s">
        <v>1260</v>
      </c>
      <c r="E499" s="281">
        <v>668833</v>
      </c>
      <c r="F499" s="281"/>
      <c r="G499" s="282">
        <v>21740</v>
      </c>
      <c r="H499" s="351" t="str">
        <f t="shared" si="25"/>
        <v>Patrick Whitfield</v>
      </c>
      <c r="I499" s="353">
        <f t="shared" si="26"/>
        <v>1494</v>
      </c>
      <c r="J499" s="353">
        <f t="shared" si="27"/>
        <v>21740</v>
      </c>
    </row>
    <row r="500" spans="1:10" x14ac:dyDescent="0.2">
      <c r="A500" s="207">
        <v>1495</v>
      </c>
      <c r="B500" s="207" t="s">
        <v>69</v>
      </c>
      <c r="C500" s="207" t="s">
        <v>1261</v>
      </c>
      <c r="D500" s="207" t="s">
        <v>1260</v>
      </c>
      <c r="E500" s="281">
        <v>0</v>
      </c>
      <c r="F500" s="281"/>
      <c r="G500" s="282">
        <v>37578</v>
      </c>
      <c r="H500" s="351" t="str">
        <f t="shared" si="25"/>
        <v>David Calder</v>
      </c>
      <c r="I500" s="353">
        <f t="shared" si="26"/>
        <v>1495</v>
      </c>
      <c r="J500" s="353">
        <f t="shared" si="27"/>
        <v>37578</v>
      </c>
    </row>
    <row r="501" spans="1:10" x14ac:dyDescent="0.2">
      <c r="A501" s="207">
        <v>1496</v>
      </c>
      <c r="B501" s="207" t="s">
        <v>110</v>
      </c>
      <c r="C501" s="207" t="s">
        <v>202</v>
      </c>
      <c r="D501" s="207" t="s">
        <v>1260</v>
      </c>
      <c r="E501" s="281">
        <v>0</v>
      </c>
      <c r="F501" s="281"/>
      <c r="G501" s="282">
        <v>38143</v>
      </c>
      <c r="H501" s="351" t="str">
        <f t="shared" si="25"/>
        <v>Peter Griffiths</v>
      </c>
      <c r="I501" s="353">
        <f t="shared" si="26"/>
        <v>1496</v>
      </c>
      <c r="J501" s="353">
        <f t="shared" si="27"/>
        <v>38143</v>
      </c>
    </row>
    <row r="502" spans="1:10" x14ac:dyDescent="0.2">
      <c r="A502" s="207">
        <v>1497</v>
      </c>
      <c r="B502" s="207" t="s">
        <v>1262</v>
      </c>
      <c r="C502" s="207" t="s">
        <v>1263</v>
      </c>
      <c r="D502" s="207" t="s">
        <v>1260</v>
      </c>
      <c r="E502" s="281">
        <v>0</v>
      </c>
      <c r="F502" s="281"/>
      <c r="G502" s="282">
        <v>38011</v>
      </c>
      <c r="H502" s="351" t="str">
        <f t="shared" si="25"/>
        <v>Troy Leighton</v>
      </c>
      <c r="I502" s="353">
        <f t="shared" si="26"/>
        <v>1497</v>
      </c>
      <c r="J502" s="353">
        <f t="shared" si="27"/>
        <v>38011</v>
      </c>
    </row>
    <row r="503" spans="1:10" x14ac:dyDescent="0.2">
      <c r="A503" s="207">
        <v>1498</v>
      </c>
      <c r="B503" s="207" t="s">
        <v>129</v>
      </c>
      <c r="C503" s="207" t="s">
        <v>1264</v>
      </c>
      <c r="D503" s="207" t="s">
        <v>1260</v>
      </c>
      <c r="E503" s="281">
        <v>690468</v>
      </c>
      <c r="F503" s="281"/>
      <c r="G503" s="282">
        <v>34407</v>
      </c>
      <c r="H503" s="351" t="str">
        <f t="shared" si="25"/>
        <v>Tom Nice</v>
      </c>
      <c r="I503" s="353">
        <f t="shared" si="26"/>
        <v>1498</v>
      </c>
      <c r="J503" s="353">
        <f t="shared" si="27"/>
        <v>34407</v>
      </c>
    </row>
    <row r="504" spans="1:10" x14ac:dyDescent="0.2">
      <c r="A504" s="207">
        <v>1499</v>
      </c>
      <c r="B504" s="207" t="s">
        <v>84</v>
      </c>
      <c r="C504" s="207" t="s">
        <v>1265</v>
      </c>
      <c r="D504" s="207" t="s">
        <v>1260</v>
      </c>
      <c r="E504" s="281">
        <v>0</v>
      </c>
      <c r="F504" s="281"/>
      <c r="G504" s="282">
        <v>38172</v>
      </c>
      <c r="H504" s="351" t="str">
        <f t="shared" si="25"/>
        <v>Sam Ruffel</v>
      </c>
      <c r="I504" s="353">
        <f t="shared" si="26"/>
        <v>1499</v>
      </c>
      <c r="J504" s="353">
        <f t="shared" si="27"/>
        <v>38172</v>
      </c>
    </row>
    <row r="505" spans="1:10" x14ac:dyDescent="0.2">
      <c r="A505" s="207">
        <v>1500</v>
      </c>
      <c r="B505" s="207" t="s">
        <v>1024</v>
      </c>
      <c r="C505" s="207" t="s">
        <v>1025</v>
      </c>
      <c r="D505" s="207" t="s">
        <v>528</v>
      </c>
      <c r="E505" s="281"/>
      <c r="F505" s="281"/>
      <c r="G505" s="282">
        <v>0</v>
      </c>
      <c r="H505" s="351" t="str">
        <f t="shared" si="25"/>
        <v>DNS in 2016 !</v>
      </c>
      <c r="I505" s="353">
        <f t="shared" si="26"/>
        <v>1500</v>
      </c>
      <c r="J505" s="353">
        <f t="shared" si="27"/>
        <v>0</v>
      </c>
    </row>
    <row r="506" spans="1:10" x14ac:dyDescent="0.2">
      <c r="A506" s="207">
        <v>1501</v>
      </c>
      <c r="B506" s="207" t="s">
        <v>1266</v>
      </c>
      <c r="C506" s="207" t="s">
        <v>136</v>
      </c>
      <c r="D506" s="207" t="s">
        <v>1260</v>
      </c>
      <c r="E506" s="281">
        <v>0</v>
      </c>
      <c r="F506" s="281" t="s">
        <v>35</v>
      </c>
      <c r="G506" s="282">
        <v>38013</v>
      </c>
      <c r="H506" s="351" t="str">
        <f t="shared" si="25"/>
        <v>Molly Shaw</v>
      </c>
      <c r="I506" s="353">
        <f t="shared" si="26"/>
        <v>1501</v>
      </c>
      <c r="J506" s="353">
        <f t="shared" si="27"/>
        <v>38013</v>
      </c>
    </row>
    <row r="507" spans="1:10" x14ac:dyDescent="0.2">
      <c r="A507" s="207">
        <v>1502</v>
      </c>
      <c r="B507" s="207" t="s">
        <v>120</v>
      </c>
      <c r="C507" s="207" t="s">
        <v>96</v>
      </c>
      <c r="D507" s="207" t="s">
        <v>1260</v>
      </c>
      <c r="E507" s="281">
        <v>261330</v>
      </c>
      <c r="F507" s="281"/>
      <c r="G507" s="282">
        <v>31092</v>
      </c>
      <c r="H507" s="351" t="str">
        <f t="shared" si="25"/>
        <v>Craig Thomas</v>
      </c>
      <c r="I507" s="353">
        <f t="shared" si="26"/>
        <v>1502</v>
      </c>
      <c r="J507" s="353">
        <f t="shared" si="27"/>
        <v>31092</v>
      </c>
    </row>
    <row r="508" spans="1:10" x14ac:dyDescent="0.2">
      <c r="A508" s="207">
        <v>1503</v>
      </c>
      <c r="B508" s="207" t="s">
        <v>1267</v>
      </c>
      <c r="C508" s="207" t="s">
        <v>1268</v>
      </c>
      <c r="D508" s="207" t="s">
        <v>1260</v>
      </c>
      <c r="E508" s="281">
        <v>834152</v>
      </c>
      <c r="F508" s="281" t="s">
        <v>35</v>
      </c>
      <c r="G508" s="282">
        <v>34446</v>
      </c>
      <c r="H508" s="351" t="str">
        <f t="shared" si="25"/>
        <v>Joanna Wakefield</v>
      </c>
      <c r="I508" s="353">
        <f t="shared" si="26"/>
        <v>1503</v>
      </c>
      <c r="J508" s="353">
        <f t="shared" si="27"/>
        <v>34446</v>
      </c>
    </row>
    <row r="509" spans="1:10" x14ac:dyDescent="0.2">
      <c r="A509" s="207">
        <v>1504</v>
      </c>
      <c r="B509" s="207" t="s">
        <v>872</v>
      </c>
      <c r="C509" s="207" t="s">
        <v>1259</v>
      </c>
      <c r="D509" s="207" t="s">
        <v>1260</v>
      </c>
      <c r="E509" s="281">
        <v>0</v>
      </c>
      <c r="F509" s="281"/>
      <c r="G509" s="282">
        <v>36426</v>
      </c>
      <c r="H509" s="351" t="str">
        <f t="shared" si="25"/>
        <v>Jacob Whitfield</v>
      </c>
      <c r="I509" s="353">
        <f t="shared" si="26"/>
        <v>1504</v>
      </c>
      <c r="J509" s="353">
        <f t="shared" si="27"/>
        <v>36426</v>
      </c>
    </row>
    <row r="510" spans="1:10" x14ac:dyDescent="0.2">
      <c r="A510" s="207">
        <v>1505</v>
      </c>
      <c r="B510" s="207" t="s">
        <v>113</v>
      </c>
      <c r="C510" s="207" t="s">
        <v>114</v>
      </c>
      <c r="D510" s="207" t="s">
        <v>109</v>
      </c>
      <c r="E510" s="281">
        <v>723316</v>
      </c>
      <c r="F510" s="281"/>
      <c r="G510" s="282"/>
      <c r="H510" s="351" t="str">
        <f t="shared" si="25"/>
        <v>Julian Barker</v>
      </c>
      <c r="I510" s="353">
        <f t="shared" si="26"/>
        <v>1505</v>
      </c>
      <c r="J510" s="353">
        <f t="shared" si="27"/>
        <v>0</v>
      </c>
    </row>
    <row r="511" spans="1:10" x14ac:dyDescent="0.2">
      <c r="A511" s="207">
        <v>1506</v>
      </c>
      <c r="B511" s="207" t="s">
        <v>110</v>
      </c>
      <c r="C511" s="207" t="s">
        <v>737</v>
      </c>
      <c r="D511" s="207" t="s">
        <v>109</v>
      </c>
      <c r="E511" s="281">
        <v>170872</v>
      </c>
      <c r="F511" s="281"/>
      <c r="G511" s="282"/>
      <c r="H511" s="351" t="str">
        <f t="shared" si="25"/>
        <v>Peter Dobson</v>
      </c>
      <c r="I511" s="353">
        <f t="shared" si="26"/>
        <v>1506</v>
      </c>
      <c r="J511" s="353">
        <f t="shared" si="27"/>
        <v>0</v>
      </c>
    </row>
    <row r="512" spans="1:10" x14ac:dyDescent="0.2">
      <c r="A512" s="207">
        <v>1507</v>
      </c>
      <c r="B512" s="207" t="s">
        <v>111</v>
      </c>
      <c r="C512" s="207" t="s">
        <v>112</v>
      </c>
      <c r="D512" s="207" t="s">
        <v>109</v>
      </c>
      <c r="E512" s="281">
        <v>105300</v>
      </c>
      <c r="F512" s="281" t="s">
        <v>35</v>
      </c>
      <c r="G512" s="282"/>
      <c r="H512" s="351" t="str">
        <f t="shared" si="25"/>
        <v>Jean Jenkins</v>
      </c>
      <c r="I512" s="353">
        <f t="shared" si="26"/>
        <v>1507</v>
      </c>
      <c r="J512" s="353">
        <f t="shared" si="27"/>
        <v>0</v>
      </c>
    </row>
    <row r="513" spans="1:10" x14ac:dyDescent="0.2">
      <c r="A513" s="207">
        <v>1508</v>
      </c>
      <c r="B513" s="207" t="s">
        <v>107</v>
      </c>
      <c r="C513" s="207" t="s">
        <v>108</v>
      </c>
      <c r="D513" s="207" t="s">
        <v>109</v>
      </c>
      <c r="E513" s="281">
        <v>6369</v>
      </c>
      <c r="F513" s="281"/>
      <c r="G513" s="282">
        <v>17734</v>
      </c>
      <c r="H513" s="351" t="str">
        <f t="shared" si="25"/>
        <v>Ian Marsden</v>
      </c>
      <c r="I513" s="353">
        <f t="shared" si="26"/>
        <v>1508</v>
      </c>
      <c r="J513" s="353">
        <f t="shared" si="27"/>
        <v>17734</v>
      </c>
    </row>
    <row r="514" spans="1:10" ht="25.5" x14ac:dyDescent="0.2">
      <c r="A514" s="207">
        <v>1509</v>
      </c>
      <c r="B514" s="207" t="s">
        <v>178</v>
      </c>
      <c r="C514" s="207" t="s">
        <v>1269</v>
      </c>
      <c r="D514" s="207" t="s">
        <v>1270</v>
      </c>
      <c r="E514" s="281">
        <v>271509</v>
      </c>
      <c r="F514" s="281"/>
      <c r="G514" s="282">
        <v>23930</v>
      </c>
      <c r="H514" s="351" t="str">
        <f t="shared" si="25"/>
        <v>Malcolm Woodcock-Mcsherry</v>
      </c>
      <c r="I514" s="353">
        <f t="shared" si="26"/>
        <v>1509</v>
      </c>
      <c r="J514" s="353">
        <f t="shared" si="27"/>
        <v>23930</v>
      </c>
    </row>
    <row r="515" spans="1:10" x14ac:dyDescent="0.2">
      <c r="A515" s="207">
        <v>1510</v>
      </c>
      <c r="B515" s="207" t="s">
        <v>49</v>
      </c>
      <c r="C515" s="207" t="s">
        <v>208</v>
      </c>
      <c r="D515" s="207" t="s">
        <v>891</v>
      </c>
      <c r="E515" s="281">
        <v>0</v>
      </c>
      <c r="F515" s="281"/>
      <c r="G515" s="282">
        <v>37105</v>
      </c>
      <c r="H515" s="351" t="str">
        <f t="shared" si="25"/>
        <v>James Hains</v>
      </c>
      <c r="I515" s="353">
        <f t="shared" si="26"/>
        <v>1510</v>
      </c>
      <c r="J515" s="353">
        <f t="shared" si="27"/>
        <v>37105</v>
      </c>
    </row>
    <row r="516" spans="1:10" x14ac:dyDescent="0.2">
      <c r="A516" s="207">
        <v>1511</v>
      </c>
      <c r="B516" s="207" t="s">
        <v>639</v>
      </c>
      <c r="C516" s="207" t="s">
        <v>100</v>
      </c>
      <c r="D516" s="207" t="s">
        <v>891</v>
      </c>
      <c r="E516" s="281">
        <v>0</v>
      </c>
      <c r="F516" s="281"/>
      <c r="G516" s="282">
        <v>36931</v>
      </c>
      <c r="H516" s="351" t="str">
        <f t="shared" si="25"/>
        <v>Rocco Young</v>
      </c>
      <c r="I516" s="353">
        <f t="shared" si="26"/>
        <v>1511</v>
      </c>
      <c r="J516" s="353">
        <f t="shared" si="27"/>
        <v>36931</v>
      </c>
    </row>
    <row r="517" spans="1:10" x14ac:dyDescent="0.2">
      <c r="A517" s="207">
        <v>1512</v>
      </c>
      <c r="B517" s="207" t="s">
        <v>475</v>
      </c>
      <c r="C517" s="207" t="s">
        <v>112</v>
      </c>
      <c r="D517" s="207" t="s">
        <v>738</v>
      </c>
      <c r="E517" s="281">
        <v>0</v>
      </c>
      <c r="F517" s="281"/>
      <c r="G517" s="282">
        <v>38178</v>
      </c>
      <c r="H517" s="351" t="str">
        <f t="shared" si="25"/>
        <v>Oscar Jenkins</v>
      </c>
      <c r="I517" s="353">
        <f t="shared" si="26"/>
        <v>1512</v>
      </c>
      <c r="J517" s="353">
        <f t="shared" si="27"/>
        <v>38178</v>
      </c>
    </row>
    <row r="518" spans="1:10" x14ac:dyDescent="0.2">
      <c r="A518" s="207">
        <v>1513</v>
      </c>
      <c r="B518" s="207" t="s">
        <v>642</v>
      </c>
      <c r="C518" s="207" t="s">
        <v>640</v>
      </c>
      <c r="D518" s="207" t="s">
        <v>890</v>
      </c>
      <c r="E518" s="281">
        <v>0</v>
      </c>
      <c r="F518" s="281"/>
      <c r="G518" s="282">
        <v>36959</v>
      </c>
      <c r="H518" s="351" t="str">
        <f t="shared" si="25"/>
        <v>Robin Barrington</v>
      </c>
      <c r="I518" s="353">
        <f t="shared" si="26"/>
        <v>1513</v>
      </c>
      <c r="J518" s="353">
        <f t="shared" si="27"/>
        <v>36959</v>
      </c>
    </row>
    <row r="519" spans="1:10" x14ac:dyDescent="0.2">
      <c r="A519" s="207">
        <v>1514</v>
      </c>
      <c r="B519" s="207" t="s">
        <v>49</v>
      </c>
      <c r="C519" s="207" t="s">
        <v>554</v>
      </c>
      <c r="D519" s="207" t="s">
        <v>890</v>
      </c>
      <c r="E519" s="281">
        <v>0</v>
      </c>
      <c r="F519" s="281"/>
      <c r="G519" s="282">
        <v>36818</v>
      </c>
      <c r="H519" s="351" t="str">
        <f t="shared" si="25"/>
        <v>James Farquharson</v>
      </c>
      <c r="I519" s="353">
        <f t="shared" si="26"/>
        <v>1514</v>
      </c>
      <c r="J519" s="353">
        <f t="shared" si="27"/>
        <v>36818</v>
      </c>
    </row>
    <row r="520" spans="1:10" x14ac:dyDescent="0.2">
      <c r="A520" s="207">
        <v>1515</v>
      </c>
      <c r="B520" s="207" t="s">
        <v>84</v>
      </c>
      <c r="C520" s="207" t="s">
        <v>220</v>
      </c>
      <c r="D520" s="207" t="s">
        <v>993</v>
      </c>
      <c r="E520" s="281">
        <v>0</v>
      </c>
      <c r="F520" s="281"/>
      <c r="G520" s="282">
        <v>37807</v>
      </c>
      <c r="H520" s="351" t="str">
        <f t="shared" si="25"/>
        <v>Sam Bradley</v>
      </c>
      <c r="I520" s="353">
        <f t="shared" si="26"/>
        <v>1515</v>
      </c>
      <c r="J520" s="353">
        <f t="shared" si="27"/>
        <v>37807</v>
      </c>
    </row>
    <row r="521" spans="1:10" x14ac:dyDescent="0.2">
      <c r="A521" s="207">
        <v>1516</v>
      </c>
      <c r="B521" s="207" t="s">
        <v>695</v>
      </c>
      <c r="C521" s="207" t="s">
        <v>1271</v>
      </c>
      <c r="D521" s="207" t="s">
        <v>993</v>
      </c>
      <c r="E521" s="281">
        <v>0</v>
      </c>
      <c r="F521" s="281"/>
      <c r="G521" s="282">
        <v>38769</v>
      </c>
      <c r="H521" s="351" t="str">
        <f t="shared" ref="H521:H584" si="28">CONCATENATE(B521," ",C521)</f>
        <v>Lawrence Briggs</v>
      </c>
      <c r="I521" s="353">
        <f t="shared" ref="I521:I584" si="29">A521</f>
        <v>1516</v>
      </c>
      <c r="J521" s="353">
        <f t="shared" ref="J521:J584" si="30">G521</f>
        <v>38769</v>
      </c>
    </row>
    <row r="522" spans="1:10" x14ac:dyDescent="0.2">
      <c r="A522" s="207">
        <v>1517</v>
      </c>
      <c r="B522" s="207" t="s">
        <v>994</v>
      </c>
      <c r="C522" s="207" t="s">
        <v>995</v>
      </c>
      <c r="D522" s="207" t="s">
        <v>993</v>
      </c>
      <c r="E522" s="281">
        <v>0</v>
      </c>
      <c r="F522" s="281"/>
      <c r="G522" s="282">
        <v>37790</v>
      </c>
      <c r="H522" s="351" t="str">
        <f t="shared" si="28"/>
        <v>Arthur Clack</v>
      </c>
      <c r="I522" s="353">
        <f t="shared" si="29"/>
        <v>1517</v>
      </c>
      <c r="J522" s="353">
        <f t="shared" si="30"/>
        <v>37790</v>
      </c>
    </row>
    <row r="523" spans="1:10" x14ac:dyDescent="0.2">
      <c r="A523" s="207">
        <v>1518</v>
      </c>
      <c r="B523" s="207" t="s">
        <v>1272</v>
      </c>
      <c r="C523" s="207" t="s">
        <v>1273</v>
      </c>
      <c r="D523" s="207" t="s">
        <v>993</v>
      </c>
      <c r="E523" s="281">
        <v>0</v>
      </c>
      <c r="F523" s="281"/>
      <c r="G523" s="282">
        <v>38429</v>
      </c>
      <c r="H523" s="351" t="str">
        <f t="shared" si="28"/>
        <v>Ceiran Forbes</v>
      </c>
      <c r="I523" s="353">
        <f t="shared" si="29"/>
        <v>1518</v>
      </c>
      <c r="J523" s="353">
        <f t="shared" si="30"/>
        <v>38429</v>
      </c>
    </row>
    <row r="524" spans="1:10" x14ac:dyDescent="0.2">
      <c r="A524" s="207">
        <v>1519</v>
      </c>
      <c r="B524" s="207" t="s">
        <v>1274</v>
      </c>
      <c r="C524" s="207" t="s">
        <v>1275</v>
      </c>
      <c r="D524" s="207" t="s">
        <v>993</v>
      </c>
      <c r="E524" s="281">
        <v>0</v>
      </c>
      <c r="F524" s="281"/>
      <c r="G524" s="282">
        <v>38779</v>
      </c>
      <c r="H524" s="351" t="str">
        <f t="shared" si="28"/>
        <v>Jaydon Hodson</v>
      </c>
      <c r="I524" s="353">
        <f t="shared" si="29"/>
        <v>1519</v>
      </c>
      <c r="J524" s="353">
        <f t="shared" si="30"/>
        <v>38779</v>
      </c>
    </row>
    <row r="525" spans="1:10" x14ac:dyDescent="0.2">
      <c r="A525" s="207">
        <v>1520</v>
      </c>
      <c r="B525" s="207" t="s">
        <v>772</v>
      </c>
      <c r="C525" s="207" t="s">
        <v>996</v>
      </c>
      <c r="D525" s="207" t="s">
        <v>993</v>
      </c>
      <c r="E525" s="281">
        <v>0</v>
      </c>
      <c r="F525" s="281" t="s">
        <v>35</v>
      </c>
      <c r="G525" s="282">
        <v>37820</v>
      </c>
      <c r="H525" s="351" t="str">
        <f t="shared" si="28"/>
        <v>Isabel Kerr</v>
      </c>
      <c r="I525" s="353">
        <f t="shared" si="29"/>
        <v>1520</v>
      </c>
      <c r="J525" s="353">
        <f t="shared" si="30"/>
        <v>37820</v>
      </c>
    </row>
    <row r="526" spans="1:10" x14ac:dyDescent="0.2">
      <c r="A526" s="207">
        <v>1521</v>
      </c>
      <c r="B526" s="207" t="s">
        <v>1276</v>
      </c>
      <c r="C526" s="207" t="s">
        <v>70</v>
      </c>
      <c r="D526" s="207" t="s">
        <v>993</v>
      </c>
      <c r="E526" s="281">
        <v>0</v>
      </c>
      <c r="F526" s="281"/>
      <c r="G526" s="282">
        <v>38654</v>
      </c>
      <c r="H526" s="351" t="str">
        <f t="shared" si="28"/>
        <v>Killian Smith</v>
      </c>
      <c r="I526" s="353">
        <f t="shared" si="29"/>
        <v>1521</v>
      </c>
      <c r="J526" s="353">
        <f t="shared" si="30"/>
        <v>38654</v>
      </c>
    </row>
    <row r="527" spans="1:10" x14ac:dyDescent="0.2">
      <c r="A527" s="207">
        <v>1522</v>
      </c>
      <c r="B527" s="207" t="s">
        <v>66</v>
      </c>
      <c r="C527" s="207" t="s">
        <v>1277</v>
      </c>
      <c r="D527" s="207" t="s">
        <v>993</v>
      </c>
      <c r="E527" s="281">
        <v>0</v>
      </c>
      <c r="F527" s="281"/>
      <c r="G527" s="282">
        <v>38256</v>
      </c>
      <c r="H527" s="351" t="str">
        <f t="shared" si="28"/>
        <v>Matthew Todd</v>
      </c>
      <c r="I527" s="353">
        <f t="shared" si="29"/>
        <v>1522</v>
      </c>
      <c r="J527" s="353">
        <f t="shared" si="30"/>
        <v>38256</v>
      </c>
    </row>
    <row r="528" spans="1:10" x14ac:dyDescent="0.2">
      <c r="A528" s="207">
        <v>1523</v>
      </c>
      <c r="B528" s="207" t="s">
        <v>644</v>
      </c>
      <c r="C528" s="207" t="s">
        <v>997</v>
      </c>
      <c r="D528" s="207" t="s">
        <v>993</v>
      </c>
      <c r="E528" s="281">
        <v>0</v>
      </c>
      <c r="F528" s="281" t="s">
        <v>35</v>
      </c>
      <c r="G528" s="282">
        <v>37896</v>
      </c>
      <c r="H528" s="351" t="str">
        <f t="shared" si="28"/>
        <v>Jasmine Vesey</v>
      </c>
      <c r="I528" s="353">
        <f t="shared" si="29"/>
        <v>1523</v>
      </c>
      <c r="J528" s="353">
        <f t="shared" si="30"/>
        <v>37896</v>
      </c>
    </row>
    <row r="529" spans="1:10" x14ac:dyDescent="0.2">
      <c r="A529" s="207">
        <v>1524</v>
      </c>
      <c r="B529" s="207" t="s">
        <v>863</v>
      </c>
      <c r="C529" s="207" t="s">
        <v>1278</v>
      </c>
      <c r="D529" s="207" t="s">
        <v>993</v>
      </c>
      <c r="E529" s="281">
        <v>11958190</v>
      </c>
      <c r="F529" s="281"/>
      <c r="G529" s="282"/>
      <c r="H529" s="351" t="str">
        <f t="shared" si="28"/>
        <v>Bernard Wolff</v>
      </c>
      <c r="I529" s="353">
        <f t="shared" si="29"/>
        <v>1524</v>
      </c>
      <c r="J529" s="353">
        <f t="shared" si="30"/>
        <v>0</v>
      </c>
    </row>
    <row r="530" spans="1:10" x14ac:dyDescent="0.2">
      <c r="A530" s="207">
        <v>1525</v>
      </c>
      <c r="B530" s="207" t="s">
        <v>155</v>
      </c>
      <c r="C530" s="207" t="s">
        <v>118</v>
      </c>
      <c r="D530" s="207" t="s">
        <v>993</v>
      </c>
      <c r="E530" s="281">
        <v>244712</v>
      </c>
      <c r="F530" s="281"/>
      <c r="G530" s="282"/>
      <c r="H530" s="351" t="str">
        <f t="shared" si="28"/>
        <v>Philip Mitchell</v>
      </c>
      <c r="I530" s="353">
        <f t="shared" si="29"/>
        <v>1525</v>
      </c>
      <c r="J530" s="353">
        <f t="shared" si="30"/>
        <v>0</v>
      </c>
    </row>
    <row r="531" spans="1:10" x14ac:dyDescent="0.2">
      <c r="A531" s="207">
        <v>1526</v>
      </c>
      <c r="B531" s="207" t="s">
        <v>75</v>
      </c>
      <c r="C531" s="207" t="s">
        <v>998</v>
      </c>
      <c r="D531" s="207" t="s">
        <v>993</v>
      </c>
      <c r="E531" s="281">
        <v>985470</v>
      </c>
      <c r="F531" s="281"/>
      <c r="G531" s="282"/>
      <c r="H531" s="351" t="str">
        <f t="shared" si="28"/>
        <v>Luke Prior</v>
      </c>
      <c r="I531" s="353">
        <f t="shared" si="29"/>
        <v>1526</v>
      </c>
      <c r="J531" s="353">
        <f t="shared" si="30"/>
        <v>0</v>
      </c>
    </row>
    <row r="532" spans="1:10" x14ac:dyDescent="0.2">
      <c r="A532" s="207">
        <v>1527</v>
      </c>
      <c r="B532" s="207" t="s">
        <v>56</v>
      </c>
      <c r="C532" s="207" t="s">
        <v>505</v>
      </c>
      <c r="D532" s="207" t="s">
        <v>183</v>
      </c>
      <c r="E532" s="281">
        <v>567747</v>
      </c>
      <c r="F532" s="281"/>
      <c r="G532" s="282"/>
      <c r="H532" s="351" t="str">
        <f t="shared" si="28"/>
        <v>Matt Cheyette</v>
      </c>
      <c r="I532" s="353">
        <f t="shared" si="29"/>
        <v>1527</v>
      </c>
      <c r="J532" s="353">
        <f t="shared" si="30"/>
        <v>0</v>
      </c>
    </row>
    <row r="533" spans="1:10" x14ac:dyDescent="0.2">
      <c r="A533" s="207">
        <v>1528</v>
      </c>
      <c r="B533" s="207" t="s">
        <v>1279</v>
      </c>
      <c r="C533" s="207" t="s">
        <v>1280</v>
      </c>
      <c r="D533" s="207" t="s">
        <v>183</v>
      </c>
      <c r="E533" s="281">
        <v>299889</v>
      </c>
      <c r="F533" s="281"/>
      <c r="G533" s="282"/>
      <c r="H533" s="351" t="str">
        <f t="shared" si="28"/>
        <v>Ed Hackett</v>
      </c>
      <c r="I533" s="353">
        <f t="shared" si="29"/>
        <v>1528</v>
      </c>
      <c r="J533" s="353">
        <f t="shared" si="30"/>
        <v>0</v>
      </c>
    </row>
    <row r="534" spans="1:10" x14ac:dyDescent="0.2">
      <c r="A534" s="207">
        <v>1529</v>
      </c>
      <c r="B534" s="207" t="s">
        <v>493</v>
      </c>
      <c r="C534" s="207" t="s">
        <v>504</v>
      </c>
      <c r="D534" s="207" t="s">
        <v>183</v>
      </c>
      <c r="E534" s="281">
        <v>678573</v>
      </c>
      <c r="F534" s="281"/>
      <c r="G534" s="282"/>
      <c r="H534" s="351" t="str">
        <f t="shared" si="28"/>
        <v>Fergus Lang</v>
      </c>
      <c r="I534" s="353">
        <f t="shared" si="29"/>
        <v>1529</v>
      </c>
      <c r="J534" s="353">
        <f t="shared" si="30"/>
        <v>0</v>
      </c>
    </row>
    <row r="535" spans="1:10" x14ac:dyDescent="0.2">
      <c r="A535" s="207">
        <v>1530</v>
      </c>
      <c r="B535" s="207" t="s">
        <v>168</v>
      </c>
      <c r="C535" s="207" t="s">
        <v>182</v>
      </c>
      <c r="D535" s="207" t="s">
        <v>183</v>
      </c>
      <c r="E535" s="281">
        <v>270942</v>
      </c>
      <c r="F535" s="281"/>
      <c r="G535" s="282"/>
      <c r="H535" s="351" t="str">
        <f t="shared" si="28"/>
        <v>Roy Watts</v>
      </c>
      <c r="I535" s="353">
        <f t="shared" si="29"/>
        <v>1530</v>
      </c>
      <c r="J535" s="353">
        <f t="shared" si="30"/>
        <v>0</v>
      </c>
    </row>
    <row r="536" spans="1:10" x14ac:dyDescent="0.2">
      <c r="A536" s="207">
        <v>1531</v>
      </c>
      <c r="B536" s="207" t="s">
        <v>133</v>
      </c>
      <c r="C536" s="207" t="s">
        <v>1281</v>
      </c>
      <c r="D536" s="207" t="s">
        <v>183</v>
      </c>
      <c r="E536" s="281">
        <v>0</v>
      </c>
      <c r="F536" s="281"/>
      <c r="G536" s="282">
        <v>38494</v>
      </c>
      <c r="H536" s="351" t="str">
        <f t="shared" si="28"/>
        <v>Adam Burge</v>
      </c>
      <c r="I536" s="353">
        <f t="shared" si="29"/>
        <v>1531</v>
      </c>
      <c r="J536" s="353">
        <f t="shared" si="30"/>
        <v>38494</v>
      </c>
    </row>
    <row r="537" spans="1:10" x14ac:dyDescent="0.2">
      <c r="A537" s="207">
        <v>1532</v>
      </c>
      <c r="B537" s="207" t="s">
        <v>555</v>
      </c>
      <c r="C537" s="207" t="s">
        <v>783</v>
      </c>
      <c r="D537" s="207" t="s">
        <v>183</v>
      </c>
      <c r="E537" s="281">
        <v>0</v>
      </c>
      <c r="F537" s="281"/>
      <c r="G537" s="282">
        <v>37774</v>
      </c>
      <c r="H537" s="351" t="str">
        <f t="shared" si="28"/>
        <v>Angus Findlay</v>
      </c>
      <c r="I537" s="353">
        <f t="shared" si="29"/>
        <v>1532</v>
      </c>
      <c r="J537" s="353">
        <f t="shared" si="30"/>
        <v>37774</v>
      </c>
    </row>
    <row r="538" spans="1:10" x14ac:dyDescent="0.2">
      <c r="A538" s="207">
        <v>1533</v>
      </c>
      <c r="B538" s="207" t="s">
        <v>1282</v>
      </c>
      <c r="C538" s="207" t="s">
        <v>783</v>
      </c>
      <c r="D538" s="207" t="s">
        <v>183</v>
      </c>
      <c r="E538" s="281">
        <v>0</v>
      </c>
      <c r="F538" s="281"/>
      <c r="G538" s="282">
        <v>38543</v>
      </c>
      <c r="H538" s="351" t="str">
        <f t="shared" si="28"/>
        <v>Euan Findlay</v>
      </c>
      <c r="I538" s="353">
        <f t="shared" si="29"/>
        <v>1533</v>
      </c>
      <c r="J538" s="353">
        <f t="shared" si="30"/>
        <v>38543</v>
      </c>
    </row>
    <row r="539" spans="1:10" x14ac:dyDescent="0.2">
      <c r="A539" s="207">
        <v>1534</v>
      </c>
      <c r="B539" s="207" t="s">
        <v>655</v>
      </c>
      <c r="C539" s="207" t="s">
        <v>504</v>
      </c>
      <c r="D539" s="207" t="s">
        <v>183</v>
      </c>
      <c r="E539" s="281">
        <v>0</v>
      </c>
      <c r="F539" s="281" t="s">
        <v>35</v>
      </c>
      <c r="G539" s="282">
        <v>38195</v>
      </c>
      <c r="H539" s="351" t="str">
        <f t="shared" si="28"/>
        <v>Rebecca Lang</v>
      </c>
      <c r="I539" s="353">
        <f t="shared" si="29"/>
        <v>1534</v>
      </c>
      <c r="J539" s="353">
        <f t="shared" si="30"/>
        <v>38195</v>
      </c>
    </row>
    <row r="540" spans="1:10" x14ac:dyDescent="0.2">
      <c r="A540" s="207">
        <v>1535</v>
      </c>
      <c r="B540" s="207" t="s">
        <v>848</v>
      </c>
      <c r="C540" s="207" t="s">
        <v>1283</v>
      </c>
      <c r="D540" s="207" t="s">
        <v>183</v>
      </c>
      <c r="E540" s="281">
        <v>0</v>
      </c>
      <c r="F540" s="281" t="s">
        <v>35</v>
      </c>
      <c r="G540" s="282">
        <v>37952</v>
      </c>
      <c r="H540" s="351" t="str">
        <f t="shared" si="28"/>
        <v>Orla Newbery</v>
      </c>
      <c r="I540" s="353">
        <f t="shared" si="29"/>
        <v>1535</v>
      </c>
      <c r="J540" s="353">
        <f t="shared" si="30"/>
        <v>37952</v>
      </c>
    </row>
    <row r="541" spans="1:10" x14ac:dyDescent="0.2">
      <c r="A541" s="207">
        <v>1536</v>
      </c>
      <c r="B541" s="207" t="s">
        <v>147</v>
      </c>
      <c r="C541" s="207" t="s">
        <v>946</v>
      </c>
      <c r="D541" s="207" t="s">
        <v>183</v>
      </c>
      <c r="E541" s="281">
        <v>0</v>
      </c>
      <c r="F541" s="281"/>
      <c r="G541" s="282">
        <v>38110</v>
      </c>
      <c r="H541" s="351" t="str">
        <f t="shared" si="28"/>
        <v>Will Sapsed</v>
      </c>
      <c r="I541" s="353">
        <f t="shared" si="29"/>
        <v>1536</v>
      </c>
      <c r="J541" s="353">
        <f t="shared" si="30"/>
        <v>38110</v>
      </c>
    </row>
    <row r="542" spans="1:10" x14ac:dyDescent="0.2">
      <c r="A542" s="207">
        <v>1537</v>
      </c>
      <c r="B542" s="207" t="s">
        <v>117</v>
      </c>
      <c r="C542" s="207" t="s">
        <v>787</v>
      </c>
      <c r="D542" s="207" t="s">
        <v>183</v>
      </c>
      <c r="E542" s="281">
        <v>0</v>
      </c>
      <c r="F542" s="281"/>
      <c r="G542" s="282">
        <v>37751</v>
      </c>
      <c r="H542" s="351" t="str">
        <f t="shared" si="28"/>
        <v>Chris Wilding</v>
      </c>
      <c r="I542" s="353">
        <f t="shared" si="29"/>
        <v>1537</v>
      </c>
      <c r="J542" s="353">
        <f t="shared" si="30"/>
        <v>37751</v>
      </c>
    </row>
    <row r="543" spans="1:10" x14ac:dyDescent="0.2">
      <c r="A543" s="207">
        <v>1538</v>
      </c>
      <c r="B543" s="207" t="s">
        <v>714</v>
      </c>
      <c r="C543" s="207" t="s">
        <v>1284</v>
      </c>
      <c r="D543" s="207" t="s">
        <v>1285</v>
      </c>
      <c r="E543" s="281">
        <v>0</v>
      </c>
      <c r="F543" s="281" t="s">
        <v>35</v>
      </c>
      <c r="G543" s="282">
        <v>37900</v>
      </c>
      <c r="H543" s="351" t="str">
        <f t="shared" si="28"/>
        <v>Emily Bardzil</v>
      </c>
      <c r="I543" s="353">
        <f t="shared" si="29"/>
        <v>1538</v>
      </c>
      <c r="J543" s="353">
        <f t="shared" si="30"/>
        <v>37900</v>
      </c>
    </row>
    <row r="544" spans="1:10" x14ac:dyDescent="0.2">
      <c r="A544" s="207">
        <v>1539</v>
      </c>
      <c r="B544" s="207" t="s">
        <v>119</v>
      </c>
      <c r="C544" s="207" t="s">
        <v>754</v>
      </c>
      <c r="D544" s="207" t="s">
        <v>1285</v>
      </c>
      <c r="E544" s="281">
        <v>0</v>
      </c>
      <c r="F544" s="281"/>
      <c r="G544" s="282">
        <v>37404</v>
      </c>
      <c r="H544" s="351" t="str">
        <f t="shared" si="28"/>
        <v>William Buchanan</v>
      </c>
      <c r="I544" s="353">
        <f t="shared" si="29"/>
        <v>1539</v>
      </c>
      <c r="J544" s="353">
        <f t="shared" si="30"/>
        <v>37404</v>
      </c>
    </row>
    <row r="545" spans="1:10" x14ac:dyDescent="0.2">
      <c r="A545" s="207">
        <v>1540</v>
      </c>
      <c r="B545" s="207" t="s">
        <v>49</v>
      </c>
      <c r="C545" s="207" t="s">
        <v>753</v>
      </c>
      <c r="D545" s="207" t="s">
        <v>1285</v>
      </c>
      <c r="E545" s="281">
        <v>0</v>
      </c>
      <c r="F545" s="281"/>
      <c r="G545" s="282">
        <v>37700</v>
      </c>
      <c r="H545" s="351" t="str">
        <f t="shared" si="28"/>
        <v>James Cullingford</v>
      </c>
      <c r="I545" s="353">
        <f t="shared" si="29"/>
        <v>1540</v>
      </c>
      <c r="J545" s="353">
        <f t="shared" si="30"/>
        <v>37700</v>
      </c>
    </row>
    <row r="546" spans="1:10" x14ac:dyDescent="0.2">
      <c r="A546" s="207">
        <v>1541</v>
      </c>
      <c r="B546" s="207" t="s">
        <v>511</v>
      </c>
      <c r="C546" s="207" t="s">
        <v>98</v>
      </c>
      <c r="D546" s="207" t="s">
        <v>1285</v>
      </c>
      <c r="E546" s="281"/>
      <c r="F546" s="281"/>
      <c r="G546" s="282">
        <v>37572</v>
      </c>
      <c r="H546" s="351" t="str">
        <f t="shared" si="28"/>
        <v>Clarke Taylor</v>
      </c>
      <c r="I546" s="353">
        <f t="shared" si="29"/>
        <v>1541</v>
      </c>
      <c r="J546" s="353">
        <f t="shared" si="30"/>
        <v>37572</v>
      </c>
    </row>
    <row r="547" spans="1:10" x14ac:dyDescent="0.2">
      <c r="A547" s="207">
        <v>1542</v>
      </c>
      <c r="B547" s="207" t="s">
        <v>184</v>
      </c>
      <c r="C547" s="207" t="s">
        <v>751</v>
      </c>
      <c r="D547" s="207" t="s">
        <v>1285</v>
      </c>
      <c r="E547" s="281">
        <v>0</v>
      </c>
      <c r="F547" s="281" t="s">
        <v>35</v>
      </c>
      <c r="G547" s="282">
        <v>37410</v>
      </c>
      <c r="H547" s="351" t="str">
        <f t="shared" si="28"/>
        <v>Eleanor Hawkins</v>
      </c>
      <c r="I547" s="353">
        <f t="shared" si="29"/>
        <v>1542</v>
      </c>
      <c r="J547" s="353">
        <f t="shared" si="30"/>
        <v>37410</v>
      </c>
    </row>
    <row r="548" spans="1:10" x14ac:dyDescent="0.2">
      <c r="A548" s="207">
        <v>1543</v>
      </c>
      <c r="B548" s="207" t="s">
        <v>87</v>
      </c>
      <c r="C548" s="207" t="s">
        <v>185</v>
      </c>
      <c r="D548" s="207" t="s">
        <v>1285</v>
      </c>
      <c r="E548" s="281">
        <v>572861</v>
      </c>
      <c r="F548" s="281"/>
      <c r="G548" s="282">
        <v>33564</v>
      </c>
      <c r="H548" s="351" t="str">
        <f t="shared" si="28"/>
        <v>Mark Hibbert</v>
      </c>
      <c r="I548" s="353">
        <f t="shared" si="29"/>
        <v>1543</v>
      </c>
      <c r="J548" s="353">
        <f t="shared" si="30"/>
        <v>33564</v>
      </c>
    </row>
    <row r="549" spans="1:10" x14ac:dyDescent="0.2">
      <c r="A549" s="207">
        <v>1544</v>
      </c>
      <c r="B549" s="207" t="s">
        <v>87</v>
      </c>
      <c r="C549" s="207" t="s">
        <v>566</v>
      </c>
      <c r="D549" s="207" t="s">
        <v>1285</v>
      </c>
      <c r="E549" s="281">
        <v>571521</v>
      </c>
      <c r="F549" s="281"/>
      <c r="G549" s="282">
        <v>33138</v>
      </c>
      <c r="H549" s="351" t="str">
        <f t="shared" si="28"/>
        <v>Mark Lodge</v>
      </c>
      <c r="I549" s="353">
        <f t="shared" si="29"/>
        <v>1544</v>
      </c>
      <c r="J549" s="353">
        <f t="shared" si="30"/>
        <v>33138</v>
      </c>
    </row>
    <row r="550" spans="1:10" x14ac:dyDescent="0.2">
      <c r="A550" s="207">
        <v>1545</v>
      </c>
      <c r="B550" s="207" t="s">
        <v>48</v>
      </c>
      <c r="C550" s="207" t="s">
        <v>186</v>
      </c>
      <c r="D550" s="207" t="s">
        <v>1285</v>
      </c>
      <c r="E550" s="281">
        <v>0</v>
      </c>
      <c r="F550" s="281"/>
      <c r="G550" s="282">
        <v>36382</v>
      </c>
      <c r="H550" s="351" t="str">
        <f t="shared" si="28"/>
        <v>George Matthews</v>
      </c>
      <c r="I550" s="353">
        <f t="shared" si="29"/>
        <v>1545</v>
      </c>
      <c r="J550" s="353">
        <f t="shared" si="30"/>
        <v>36382</v>
      </c>
    </row>
    <row r="551" spans="1:10" x14ac:dyDescent="0.2">
      <c r="A551" s="207">
        <v>1546</v>
      </c>
      <c r="B551" s="207" t="s">
        <v>752</v>
      </c>
      <c r="C551" s="207" t="s">
        <v>236</v>
      </c>
      <c r="D551" s="207" t="s">
        <v>1285</v>
      </c>
      <c r="E551" s="281"/>
      <c r="F551" s="281"/>
      <c r="G551" s="282">
        <v>37349</v>
      </c>
      <c r="H551" s="351" t="str">
        <f t="shared" si="28"/>
        <v>Ned Wells</v>
      </c>
      <c r="I551" s="353">
        <f t="shared" si="29"/>
        <v>1546</v>
      </c>
      <c r="J551" s="353">
        <f t="shared" si="30"/>
        <v>37349</v>
      </c>
    </row>
    <row r="552" spans="1:10" x14ac:dyDescent="0.2">
      <c r="A552" s="207">
        <v>1547</v>
      </c>
      <c r="B552" s="207" t="s">
        <v>1024</v>
      </c>
      <c r="C552" s="207" t="s">
        <v>1025</v>
      </c>
      <c r="D552" s="207" t="s">
        <v>528</v>
      </c>
      <c r="E552" s="281"/>
      <c r="F552" s="281"/>
      <c r="G552" s="282">
        <v>0</v>
      </c>
      <c r="H552" s="351" t="str">
        <f t="shared" si="28"/>
        <v>DNS in 2016 !</v>
      </c>
      <c r="I552" s="353">
        <f t="shared" si="29"/>
        <v>1547</v>
      </c>
      <c r="J552" s="353">
        <f t="shared" si="30"/>
        <v>0</v>
      </c>
    </row>
    <row r="553" spans="1:10" x14ac:dyDescent="0.2">
      <c r="A553" s="207">
        <v>1548</v>
      </c>
      <c r="B553" s="207" t="s">
        <v>699</v>
      </c>
      <c r="C553" s="207" t="s">
        <v>70</v>
      </c>
      <c r="D553" s="207" t="s">
        <v>1285</v>
      </c>
      <c r="E553" s="281">
        <v>11153360</v>
      </c>
      <c r="F553" s="281" t="s">
        <v>35</v>
      </c>
      <c r="G553" s="282">
        <v>35560</v>
      </c>
      <c r="H553" s="351" t="str">
        <f t="shared" si="28"/>
        <v>Lauren Smith</v>
      </c>
      <c r="I553" s="353">
        <f t="shared" si="29"/>
        <v>1548</v>
      </c>
      <c r="J553" s="353">
        <f t="shared" si="30"/>
        <v>35560</v>
      </c>
    </row>
    <row r="554" spans="1:10" x14ac:dyDescent="0.2">
      <c r="A554" s="207">
        <v>1549</v>
      </c>
      <c r="B554" s="207" t="s">
        <v>69</v>
      </c>
      <c r="C554" s="207" t="s">
        <v>797</v>
      </c>
      <c r="D554" s="207" t="s">
        <v>1286</v>
      </c>
      <c r="E554" s="281">
        <v>10066767</v>
      </c>
      <c r="F554" s="281"/>
      <c r="G554" s="282">
        <v>24788</v>
      </c>
      <c r="H554" s="351" t="str">
        <f t="shared" si="28"/>
        <v>David Hughes</v>
      </c>
      <c r="I554" s="353">
        <f t="shared" si="29"/>
        <v>1549</v>
      </c>
      <c r="J554" s="353">
        <f t="shared" si="30"/>
        <v>24788</v>
      </c>
    </row>
    <row r="555" spans="1:10" x14ac:dyDescent="0.2">
      <c r="A555" s="207">
        <v>1550</v>
      </c>
      <c r="B555" s="207" t="s">
        <v>1287</v>
      </c>
      <c r="C555" s="207" t="s">
        <v>1288</v>
      </c>
      <c r="D555" s="207" t="s">
        <v>1286</v>
      </c>
      <c r="E555" s="281"/>
      <c r="F555" s="281"/>
      <c r="G555" s="282">
        <v>38201</v>
      </c>
      <c r="H555" s="351" t="str">
        <f t="shared" si="28"/>
        <v>Wilf Richards</v>
      </c>
      <c r="I555" s="353">
        <f t="shared" si="29"/>
        <v>1550</v>
      </c>
      <c r="J555" s="353">
        <f t="shared" si="30"/>
        <v>38201</v>
      </c>
    </row>
    <row r="556" spans="1:10" x14ac:dyDescent="0.2">
      <c r="A556" s="207">
        <v>1551</v>
      </c>
      <c r="B556" s="207" t="s">
        <v>1289</v>
      </c>
      <c r="C556" s="207" t="s">
        <v>94</v>
      </c>
      <c r="D556" s="207" t="s">
        <v>1286</v>
      </c>
      <c r="E556" s="281"/>
      <c r="F556" s="281" t="s">
        <v>35</v>
      </c>
      <c r="G556" s="282">
        <v>38201</v>
      </c>
      <c r="H556" s="351" t="str">
        <f t="shared" si="28"/>
        <v>Liani Williams</v>
      </c>
      <c r="I556" s="353">
        <f t="shared" si="29"/>
        <v>1551</v>
      </c>
      <c r="J556" s="353">
        <f t="shared" si="30"/>
        <v>38201</v>
      </c>
    </row>
    <row r="557" spans="1:10" x14ac:dyDescent="0.2">
      <c r="A557" s="207">
        <v>1552</v>
      </c>
      <c r="B557" s="207" t="s">
        <v>205</v>
      </c>
      <c r="C557" s="207" t="s">
        <v>484</v>
      </c>
      <c r="D557" s="207" t="s">
        <v>1286</v>
      </c>
      <c r="E557" s="281">
        <v>878422</v>
      </c>
      <c r="F557" s="281"/>
      <c r="G557" s="282">
        <v>27395</v>
      </c>
      <c r="H557" s="351" t="str">
        <f t="shared" si="28"/>
        <v>Kevin Meek</v>
      </c>
      <c r="I557" s="353">
        <f t="shared" si="29"/>
        <v>1552</v>
      </c>
      <c r="J557" s="353">
        <f t="shared" si="30"/>
        <v>27395</v>
      </c>
    </row>
    <row r="558" spans="1:10" x14ac:dyDescent="0.2">
      <c r="A558" s="207">
        <v>1553</v>
      </c>
      <c r="B558" s="207" t="s">
        <v>103</v>
      </c>
      <c r="C558" s="207" t="s">
        <v>484</v>
      </c>
      <c r="D558" s="207" t="s">
        <v>1286</v>
      </c>
      <c r="E558" s="281">
        <v>0</v>
      </c>
      <c r="F558" s="281"/>
      <c r="G558" s="282">
        <v>38147</v>
      </c>
      <c r="H558" s="351" t="str">
        <f t="shared" si="28"/>
        <v>Nathan Meek</v>
      </c>
      <c r="I558" s="353">
        <f t="shared" si="29"/>
        <v>1553</v>
      </c>
      <c r="J558" s="353">
        <f t="shared" si="30"/>
        <v>38147</v>
      </c>
    </row>
    <row r="559" spans="1:10" x14ac:dyDescent="0.2">
      <c r="A559" s="207">
        <v>1554</v>
      </c>
      <c r="B559" s="207" t="s">
        <v>73</v>
      </c>
      <c r="C559" s="207" t="s">
        <v>708</v>
      </c>
      <c r="D559" s="207" t="s">
        <v>1286</v>
      </c>
      <c r="E559" s="281">
        <v>878422</v>
      </c>
      <c r="F559" s="281"/>
      <c r="G559" s="282">
        <v>21215</v>
      </c>
      <c r="H559" s="351" t="str">
        <f t="shared" si="28"/>
        <v>Nicholas Miller</v>
      </c>
      <c r="I559" s="353">
        <f t="shared" si="29"/>
        <v>1554</v>
      </c>
      <c r="J559" s="353">
        <f t="shared" si="30"/>
        <v>21215</v>
      </c>
    </row>
    <row r="560" spans="1:10" x14ac:dyDescent="0.2">
      <c r="A560" s="207">
        <v>1555</v>
      </c>
      <c r="B560" s="207" t="s">
        <v>572</v>
      </c>
      <c r="C560" s="207" t="s">
        <v>675</v>
      </c>
      <c r="D560" s="207" t="s">
        <v>1286</v>
      </c>
      <c r="E560" s="281">
        <v>0</v>
      </c>
      <c r="F560" s="281"/>
      <c r="G560" s="282">
        <v>38106</v>
      </c>
      <c r="H560" s="351" t="str">
        <f t="shared" si="28"/>
        <v>Morgan Pearce</v>
      </c>
      <c r="I560" s="353">
        <f t="shared" si="29"/>
        <v>1555</v>
      </c>
      <c r="J560" s="353">
        <f t="shared" si="30"/>
        <v>38106</v>
      </c>
    </row>
    <row r="561" spans="1:10" x14ac:dyDescent="0.2">
      <c r="A561" s="207">
        <v>1556</v>
      </c>
      <c r="B561" s="207" t="s">
        <v>119</v>
      </c>
      <c r="C561" s="207" t="s">
        <v>1290</v>
      </c>
      <c r="D561" s="207" t="s">
        <v>1286</v>
      </c>
      <c r="E561" s="281">
        <v>0</v>
      </c>
      <c r="F561" s="281"/>
      <c r="G561" s="282">
        <v>37653</v>
      </c>
      <c r="H561" s="351" t="str">
        <f t="shared" si="28"/>
        <v>William Shirley</v>
      </c>
      <c r="I561" s="353">
        <f t="shared" si="29"/>
        <v>1556</v>
      </c>
      <c r="J561" s="353">
        <f t="shared" si="30"/>
        <v>37653</v>
      </c>
    </row>
    <row r="562" spans="1:10" x14ac:dyDescent="0.2">
      <c r="A562" s="207">
        <v>1557</v>
      </c>
      <c r="B562" s="207" t="s">
        <v>1291</v>
      </c>
      <c r="C562" s="207" t="s">
        <v>1292</v>
      </c>
      <c r="D562" s="207" t="s">
        <v>1286</v>
      </c>
      <c r="E562" s="281">
        <v>0</v>
      </c>
      <c r="F562" s="281"/>
      <c r="G562" s="282">
        <v>37879</v>
      </c>
      <c r="H562" s="351" t="str">
        <f t="shared" si="28"/>
        <v>Timothy Summerfield</v>
      </c>
      <c r="I562" s="353">
        <f t="shared" si="29"/>
        <v>1557</v>
      </c>
      <c r="J562" s="353">
        <f t="shared" si="30"/>
        <v>37879</v>
      </c>
    </row>
    <row r="563" spans="1:10" x14ac:dyDescent="0.2">
      <c r="A563" s="207">
        <v>1558</v>
      </c>
      <c r="B563" s="207" t="s">
        <v>1293</v>
      </c>
      <c r="C563" s="207" t="s">
        <v>1294</v>
      </c>
      <c r="D563" s="207" t="s">
        <v>1295</v>
      </c>
      <c r="E563" s="281">
        <v>0</v>
      </c>
      <c r="F563" s="281"/>
      <c r="G563" s="282">
        <v>37442</v>
      </c>
      <c r="H563" s="351" t="str">
        <f t="shared" si="28"/>
        <v>Jakob Slater-Morris</v>
      </c>
      <c r="I563" s="353">
        <f t="shared" si="29"/>
        <v>1558</v>
      </c>
      <c r="J563" s="353">
        <f t="shared" si="30"/>
        <v>37442</v>
      </c>
    </row>
    <row r="564" spans="1:10" x14ac:dyDescent="0.2">
      <c r="A564" s="207">
        <v>1559</v>
      </c>
      <c r="B564" s="207" t="s">
        <v>1296</v>
      </c>
      <c r="C564" s="207" t="s">
        <v>1294</v>
      </c>
      <c r="D564" s="207" t="s">
        <v>1295</v>
      </c>
      <c r="E564" s="281">
        <v>0</v>
      </c>
      <c r="F564" s="281" t="s">
        <v>35</v>
      </c>
      <c r="G564" s="282">
        <v>37957</v>
      </c>
      <c r="H564" s="351" t="str">
        <f t="shared" si="28"/>
        <v>Jasmyn Slater-Morris</v>
      </c>
      <c r="I564" s="353">
        <f t="shared" si="29"/>
        <v>1559</v>
      </c>
      <c r="J564" s="353">
        <f t="shared" si="30"/>
        <v>37957</v>
      </c>
    </row>
    <row r="565" spans="1:10" x14ac:dyDescent="0.2">
      <c r="A565" s="207">
        <v>1560</v>
      </c>
      <c r="B565" s="207" t="s">
        <v>1297</v>
      </c>
      <c r="C565" s="207" t="s">
        <v>1294</v>
      </c>
      <c r="D565" s="207" t="s">
        <v>1295</v>
      </c>
      <c r="E565" s="281">
        <v>0</v>
      </c>
      <c r="F565" s="281" t="s">
        <v>35</v>
      </c>
      <c r="G565" s="282">
        <v>38617</v>
      </c>
      <c r="H565" s="351" t="str">
        <f t="shared" si="28"/>
        <v>Jorja Slater-Morris</v>
      </c>
      <c r="I565" s="353">
        <f t="shared" si="29"/>
        <v>1560</v>
      </c>
      <c r="J565" s="353">
        <f t="shared" si="30"/>
        <v>38617</v>
      </c>
    </row>
    <row r="566" spans="1:10" x14ac:dyDescent="0.2">
      <c r="A566" s="207">
        <v>1561</v>
      </c>
      <c r="B566" s="207" t="s">
        <v>179</v>
      </c>
      <c r="C566" s="207" t="s">
        <v>1298</v>
      </c>
      <c r="D566" s="207" t="s">
        <v>215</v>
      </c>
      <c r="E566" s="281">
        <v>0</v>
      </c>
      <c r="F566" s="281"/>
      <c r="G566" s="282">
        <v>38188</v>
      </c>
      <c r="H566" s="351" t="str">
        <f t="shared" si="28"/>
        <v>Jake Balchin-Murray</v>
      </c>
      <c r="I566" s="353">
        <f t="shared" si="29"/>
        <v>1561</v>
      </c>
      <c r="J566" s="353">
        <f t="shared" si="30"/>
        <v>38188</v>
      </c>
    </row>
    <row r="567" spans="1:10" x14ac:dyDescent="0.2">
      <c r="A567" s="207">
        <v>1562</v>
      </c>
      <c r="B567" s="207" t="s">
        <v>80</v>
      </c>
      <c r="C567" s="207" t="s">
        <v>1299</v>
      </c>
      <c r="D567" s="207" t="s">
        <v>215</v>
      </c>
      <c r="E567" s="281">
        <v>0</v>
      </c>
      <c r="F567" s="281"/>
      <c r="G567" s="282">
        <v>38004</v>
      </c>
      <c r="H567" s="351" t="str">
        <f t="shared" si="28"/>
        <v>Joshua Brindley</v>
      </c>
      <c r="I567" s="353">
        <f t="shared" si="29"/>
        <v>1562</v>
      </c>
      <c r="J567" s="353">
        <f t="shared" si="30"/>
        <v>38004</v>
      </c>
    </row>
    <row r="568" spans="1:10" x14ac:dyDescent="0.2">
      <c r="A568" s="207">
        <v>1563</v>
      </c>
      <c r="B568" s="207" t="s">
        <v>898</v>
      </c>
      <c r="C568" s="207" t="s">
        <v>760</v>
      </c>
      <c r="D568" s="207" t="s">
        <v>215</v>
      </c>
      <c r="E568" s="281">
        <v>0</v>
      </c>
      <c r="F568" s="281" t="s">
        <v>35</v>
      </c>
      <c r="G568" s="282">
        <v>38188</v>
      </c>
      <c r="H568" s="351" t="str">
        <f t="shared" si="28"/>
        <v>Danni Chambers</v>
      </c>
      <c r="I568" s="353">
        <f t="shared" si="29"/>
        <v>1563</v>
      </c>
      <c r="J568" s="353">
        <f t="shared" si="30"/>
        <v>38188</v>
      </c>
    </row>
    <row r="569" spans="1:10" x14ac:dyDescent="0.2">
      <c r="A569" s="207">
        <v>1564</v>
      </c>
      <c r="B569" s="207" t="s">
        <v>1300</v>
      </c>
      <c r="C569" s="207" t="s">
        <v>1301</v>
      </c>
      <c r="D569" s="207" t="s">
        <v>215</v>
      </c>
      <c r="E569" s="281">
        <v>0</v>
      </c>
      <c r="F569" s="281"/>
      <c r="G569" s="282">
        <v>38004</v>
      </c>
      <c r="H569" s="351" t="str">
        <f t="shared" si="28"/>
        <v>Benedict Conway</v>
      </c>
      <c r="I569" s="353">
        <f t="shared" si="29"/>
        <v>1564</v>
      </c>
      <c r="J569" s="353">
        <f t="shared" si="30"/>
        <v>38004</v>
      </c>
    </row>
    <row r="570" spans="1:10" x14ac:dyDescent="0.2">
      <c r="A570" s="207">
        <v>1565</v>
      </c>
      <c r="B570" s="207" t="s">
        <v>49</v>
      </c>
      <c r="C570" s="207" t="s">
        <v>899</v>
      </c>
      <c r="D570" s="207" t="s">
        <v>215</v>
      </c>
      <c r="E570" s="281">
        <v>0</v>
      </c>
      <c r="F570" s="281"/>
      <c r="G570" s="282">
        <v>38004</v>
      </c>
      <c r="H570" s="351" t="str">
        <f t="shared" si="28"/>
        <v>James Matson</v>
      </c>
      <c r="I570" s="353">
        <f t="shared" si="29"/>
        <v>1565</v>
      </c>
      <c r="J570" s="353">
        <f t="shared" si="30"/>
        <v>38004</v>
      </c>
    </row>
    <row r="571" spans="1:10" x14ac:dyDescent="0.2">
      <c r="A571" s="207">
        <v>1566</v>
      </c>
      <c r="B571" s="207" t="s">
        <v>541</v>
      </c>
      <c r="C571" s="207" t="s">
        <v>572</v>
      </c>
      <c r="D571" s="207" t="s">
        <v>215</v>
      </c>
      <c r="E571" s="281">
        <v>0</v>
      </c>
      <c r="F571" s="281"/>
      <c r="G571" s="282">
        <v>38021</v>
      </c>
      <c r="H571" s="351" t="str">
        <f t="shared" si="28"/>
        <v>Charles Morgan</v>
      </c>
      <c r="I571" s="353">
        <f t="shared" si="29"/>
        <v>1566</v>
      </c>
      <c r="J571" s="353">
        <f t="shared" si="30"/>
        <v>38021</v>
      </c>
    </row>
    <row r="572" spans="1:10" x14ac:dyDescent="0.2">
      <c r="A572" s="207">
        <v>1567</v>
      </c>
      <c r="B572" s="207" t="s">
        <v>541</v>
      </c>
      <c r="C572" s="207" t="s">
        <v>897</v>
      </c>
      <c r="D572" s="207" t="s">
        <v>215</v>
      </c>
      <c r="E572" s="281">
        <v>0</v>
      </c>
      <c r="F572" s="281"/>
      <c r="G572" s="282">
        <v>38086</v>
      </c>
      <c r="H572" s="351" t="str">
        <f t="shared" si="28"/>
        <v>Charles Thorne</v>
      </c>
      <c r="I572" s="353">
        <f t="shared" si="29"/>
        <v>1567</v>
      </c>
      <c r="J572" s="353">
        <f t="shared" si="30"/>
        <v>38086</v>
      </c>
    </row>
    <row r="573" spans="1:10" x14ac:dyDescent="0.2">
      <c r="A573" s="207">
        <v>1568</v>
      </c>
      <c r="B573" s="207" t="s">
        <v>1302</v>
      </c>
      <c r="C573" s="207" t="s">
        <v>1303</v>
      </c>
      <c r="D573" s="207" t="s">
        <v>900</v>
      </c>
      <c r="E573" s="281">
        <v>0</v>
      </c>
      <c r="F573" s="281"/>
      <c r="G573" s="282">
        <v>36566</v>
      </c>
      <c r="H573" s="351" t="str">
        <f t="shared" si="28"/>
        <v>Denis Baran</v>
      </c>
      <c r="I573" s="353">
        <f t="shared" si="29"/>
        <v>1568</v>
      </c>
      <c r="J573" s="353">
        <f t="shared" si="30"/>
        <v>36566</v>
      </c>
    </row>
    <row r="574" spans="1:10" x14ac:dyDescent="0.2">
      <c r="A574" s="207">
        <v>1569</v>
      </c>
      <c r="B574" s="207" t="s">
        <v>65</v>
      </c>
      <c r="C574" s="207" t="s">
        <v>72</v>
      </c>
      <c r="D574" s="207" t="s">
        <v>900</v>
      </c>
      <c r="E574" s="281">
        <v>0</v>
      </c>
      <c r="F574" s="281"/>
      <c r="G574" s="282">
        <v>37033</v>
      </c>
      <c r="H574" s="351" t="str">
        <f t="shared" si="28"/>
        <v>Daniel Ellis</v>
      </c>
      <c r="I574" s="353">
        <f t="shared" si="29"/>
        <v>1569</v>
      </c>
      <c r="J574" s="353">
        <f t="shared" si="30"/>
        <v>37033</v>
      </c>
    </row>
    <row r="575" spans="1:10" x14ac:dyDescent="0.2">
      <c r="A575" s="207">
        <v>1570</v>
      </c>
      <c r="B575" s="207" t="s">
        <v>96</v>
      </c>
      <c r="C575" s="207" t="s">
        <v>217</v>
      </c>
      <c r="D575" s="207" t="s">
        <v>900</v>
      </c>
      <c r="E575" s="281">
        <v>11965366</v>
      </c>
      <c r="F575" s="281"/>
      <c r="G575" s="282">
        <v>35945</v>
      </c>
      <c r="H575" s="351" t="str">
        <f t="shared" si="28"/>
        <v>Thomas Hiller</v>
      </c>
      <c r="I575" s="353">
        <f t="shared" si="29"/>
        <v>1570</v>
      </c>
      <c r="J575" s="353">
        <f t="shared" si="30"/>
        <v>35945</v>
      </c>
    </row>
    <row r="576" spans="1:10" x14ac:dyDescent="0.2">
      <c r="A576" s="207">
        <v>1571</v>
      </c>
      <c r="B576" s="207" t="s">
        <v>651</v>
      </c>
      <c r="C576" s="207" t="s">
        <v>652</v>
      </c>
      <c r="D576" s="207" t="s">
        <v>900</v>
      </c>
      <c r="E576" s="281">
        <v>11965490</v>
      </c>
      <c r="F576" s="281" t="s">
        <v>35</v>
      </c>
      <c r="G576" s="282">
        <v>35991</v>
      </c>
      <c r="H576" s="351" t="str">
        <f t="shared" si="28"/>
        <v>Jess Kortekaas</v>
      </c>
      <c r="I576" s="353">
        <f t="shared" si="29"/>
        <v>1571</v>
      </c>
      <c r="J576" s="353">
        <f t="shared" si="30"/>
        <v>35991</v>
      </c>
    </row>
    <row r="577" spans="1:10" x14ac:dyDescent="0.2">
      <c r="A577" s="207">
        <v>1572</v>
      </c>
      <c r="B577" s="207" t="s">
        <v>46</v>
      </c>
      <c r="C577" s="207" t="s">
        <v>1304</v>
      </c>
      <c r="D577" s="207" t="s">
        <v>900</v>
      </c>
      <c r="E577" s="281">
        <v>0</v>
      </c>
      <c r="F577" s="281"/>
      <c r="G577" s="282">
        <v>36712</v>
      </c>
      <c r="H577" s="351" t="str">
        <f t="shared" si="28"/>
        <v>Alex Rhodes</v>
      </c>
      <c r="I577" s="353">
        <f t="shared" si="29"/>
        <v>1572</v>
      </c>
      <c r="J577" s="353">
        <f t="shared" si="30"/>
        <v>36712</v>
      </c>
    </row>
    <row r="578" spans="1:10" x14ac:dyDescent="0.2">
      <c r="A578" s="207">
        <v>1573</v>
      </c>
      <c r="B578" s="207" t="s">
        <v>160</v>
      </c>
      <c r="C578" s="207" t="s">
        <v>216</v>
      </c>
      <c r="D578" s="207" t="s">
        <v>900</v>
      </c>
      <c r="E578" s="281">
        <v>0</v>
      </c>
      <c r="F578" s="281" t="s">
        <v>35</v>
      </c>
      <c r="G578" s="282">
        <v>36963</v>
      </c>
      <c r="H578" s="351" t="str">
        <f t="shared" si="28"/>
        <v>Megan Skirrow</v>
      </c>
      <c r="I578" s="353">
        <f t="shared" si="29"/>
        <v>1573</v>
      </c>
      <c r="J578" s="353">
        <f t="shared" si="30"/>
        <v>36963</v>
      </c>
    </row>
    <row r="579" spans="1:10" x14ac:dyDescent="0.2">
      <c r="A579" s="207">
        <v>1574</v>
      </c>
      <c r="B579" s="207" t="s">
        <v>509</v>
      </c>
      <c r="C579" s="207" t="s">
        <v>897</v>
      </c>
      <c r="D579" s="207" t="s">
        <v>900</v>
      </c>
      <c r="E579" s="281">
        <v>0</v>
      </c>
      <c r="F579" s="281" t="s">
        <v>35</v>
      </c>
      <c r="G579" s="282">
        <v>36943</v>
      </c>
      <c r="H579" s="351" t="str">
        <f t="shared" si="28"/>
        <v>Rachel Thorne</v>
      </c>
      <c r="I579" s="353">
        <f t="shared" si="29"/>
        <v>1574</v>
      </c>
      <c r="J579" s="353">
        <f t="shared" si="30"/>
        <v>36943</v>
      </c>
    </row>
    <row r="580" spans="1:10" x14ac:dyDescent="0.2">
      <c r="A580" s="207">
        <v>1575</v>
      </c>
      <c r="B580" s="207" t="s">
        <v>541</v>
      </c>
      <c r="C580" s="207" t="s">
        <v>169</v>
      </c>
      <c r="D580" s="207" t="s">
        <v>900</v>
      </c>
      <c r="E580" s="281">
        <v>0</v>
      </c>
      <c r="F580" s="281"/>
      <c r="G580" s="282">
        <v>36848</v>
      </c>
      <c r="H580" s="351" t="str">
        <f t="shared" si="28"/>
        <v>Charles Wright</v>
      </c>
      <c r="I580" s="353">
        <f t="shared" si="29"/>
        <v>1575</v>
      </c>
      <c r="J580" s="353">
        <f t="shared" si="30"/>
        <v>36848</v>
      </c>
    </row>
    <row r="581" spans="1:10" x14ac:dyDescent="0.2">
      <c r="A581" s="207">
        <v>1576</v>
      </c>
      <c r="B581" s="207" t="s">
        <v>660</v>
      </c>
      <c r="C581" s="207" t="s">
        <v>661</v>
      </c>
      <c r="D581" s="207" t="s">
        <v>662</v>
      </c>
      <c r="E581" s="281">
        <v>0</v>
      </c>
      <c r="F581" s="281" t="s">
        <v>35</v>
      </c>
      <c r="G581" s="282">
        <v>37203</v>
      </c>
      <c r="H581" s="351" t="str">
        <f t="shared" si="28"/>
        <v>Hermione Crispin</v>
      </c>
      <c r="I581" s="353">
        <f t="shared" si="29"/>
        <v>1576</v>
      </c>
      <c r="J581" s="353">
        <f t="shared" si="30"/>
        <v>37203</v>
      </c>
    </row>
    <row r="582" spans="1:10" x14ac:dyDescent="0.2">
      <c r="A582" s="207">
        <v>1577</v>
      </c>
      <c r="B582" s="207" t="s">
        <v>1305</v>
      </c>
      <c r="C582" s="207" t="s">
        <v>1306</v>
      </c>
      <c r="D582" s="207" t="s">
        <v>1307</v>
      </c>
      <c r="E582" s="281">
        <v>0</v>
      </c>
      <c r="F582" s="281" t="s">
        <v>35</v>
      </c>
      <c r="G582" s="282">
        <v>37702</v>
      </c>
      <c r="H582" s="351" t="str">
        <f t="shared" si="28"/>
        <v>Siân Macklin</v>
      </c>
      <c r="I582" s="353">
        <f t="shared" si="29"/>
        <v>1577</v>
      </c>
      <c r="J582" s="353">
        <f t="shared" si="30"/>
        <v>37702</v>
      </c>
    </row>
    <row r="583" spans="1:10" x14ac:dyDescent="0.2">
      <c r="A583" s="207">
        <v>1578</v>
      </c>
      <c r="B583" s="207" t="s">
        <v>102</v>
      </c>
      <c r="C583" s="207" t="s">
        <v>659</v>
      </c>
      <c r="D583" s="207" t="s">
        <v>1308</v>
      </c>
      <c r="E583" s="281">
        <v>0</v>
      </c>
      <c r="F583" s="281" t="s">
        <v>35</v>
      </c>
      <c r="G583" s="282">
        <v>36207</v>
      </c>
      <c r="H583" s="351" t="str">
        <f t="shared" si="28"/>
        <v>Amy Lott</v>
      </c>
      <c r="I583" s="353">
        <f t="shared" si="29"/>
        <v>1578</v>
      </c>
      <c r="J583" s="353">
        <f t="shared" si="30"/>
        <v>36207</v>
      </c>
    </row>
    <row r="584" spans="1:10" x14ac:dyDescent="0.2">
      <c r="A584" s="207">
        <v>1579</v>
      </c>
      <c r="B584" s="207" t="s">
        <v>772</v>
      </c>
      <c r="C584" s="207" t="s">
        <v>773</v>
      </c>
      <c r="D584" s="207" t="s">
        <v>663</v>
      </c>
      <c r="E584" s="281">
        <v>0</v>
      </c>
      <c r="F584" s="281" t="s">
        <v>35</v>
      </c>
      <c r="G584" s="282">
        <v>37739</v>
      </c>
      <c r="H584" s="351" t="str">
        <f t="shared" si="28"/>
        <v>Isabel Atkins</v>
      </c>
      <c r="I584" s="353">
        <f t="shared" si="29"/>
        <v>1579</v>
      </c>
      <c r="J584" s="353">
        <f t="shared" si="30"/>
        <v>37739</v>
      </c>
    </row>
    <row r="585" spans="1:10" x14ac:dyDescent="0.2">
      <c r="A585" s="207">
        <v>1580</v>
      </c>
      <c r="B585" s="207" t="s">
        <v>771</v>
      </c>
      <c r="C585" s="207" t="s">
        <v>656</v>
      </c>
      <c r="D585" s="207" t="s">
        <v>663</v>
      </c>
      <c r="E585" s="281">
        <v>0</v>
      </c>
      <c r="F585" s="281" t="s">
        <v>35</v>
      </c>
      <c r="G585" s="282">
        <v>37739</v>
      </c>
      <c r="H585" s="351" t="str">
        <f t="shared" ref="H585:H648" si="31">CONCATENATE(B585," ",C585)</f>
        <v>Alana Green</v>
      </c>
      <c r="I585" s="353">
        <f t="shared" ref="I585:I648" si="32">A585</f>
        <v>1580</v>
      </c>
      <c r="J585" s="353">
        <f t="shared" ref="J585:J648" si="33">G585</f>
        <v>37739</v>
      </c>
    </row>
    <row r="586" spans="1:10" x14ac:dyDescent="0.2">
      <c r="A586" s="207">
        <v>1581</v>
      </c>
      <c r="B586" s="207" t="s">
        <v>531</v>
      </c>
      <c r="C586" s="207" t="s">
        <v>656</v>
      </c>
      <c r="D586" s="207" t="s">
        <v>663</v>
      </c>
      <c r="E586" s="281">
        <v>0</v>
      </c>
      <c r="F586" s="281" t="s">
        <v>35</v>
      </c>
      <c r="G586" s="282">
        <v>36957</v>
      </c>
      <c r="H586" s="351" t="str">
        <f t="shared" si="31"/>
        <v>Michaela Green</v>
      </c>
      <c r="I586" s="353">
        <f t="shared" si="32"/>
        <v>1581</v>
      </c>
      <c r="J586" s="353">
        <f t="shared" si="33"/>
        <v>36957</v>
      </c>
    </row>
    <row r="587" spans="1:10" x14ac:dyDescent="0.2">
      <c r="A587" s="207">
        <v>1582</v>
      </c>
      <c r="B587" s="207" t="s">
        <v>916</v>
      </c>
      <c r="C587" s="207" t="s">
        <v>917</v>
      </c>
      <c r="D587" s="207" t="s">
        <v>663</v>
      </c>
      <c r="E587" s="281">
        <v>0</v>
      </c>
      <c r="F587" s="281" t="s">
        <v>35</v>
      </c>
      <c r="G587" s="282">
        <v>37657</v>
      </c>
      <c r="H587" s="351" t="str">
        <f t="shared" si="31"/>
        <v>Aisha Kimber</v>
      </c>
      <c r="I587" s="353">
        <f t="shared" si="32"/>
        <v>1582</v>
      </c>
      <c r="J587" s="353">
        <f t="shared" si="33"/>
        <v>37657</v>
      </c>
    </row>
    <row r="588" spans="1:10" x14ac:dyDescent="0.2">
      <c r="A588" s="207">
        <v>1583</v>
      </c>
      <c r="B588" s="207" t="s">
        <v>1309</v>
      </c>
      <c r="C588" s="207" t="s">
        <v>917</v>
      </c>
      <c r="D588" s="207" t="s">
        <v>663</v>
      </c>
      <c r="E588" s="281">
        <v>0</v>
      </c>
      <c r="F588" s="281" t="s">
        <v>35</v>
      </c>
      <c r="G588" s="282">
        <v>38308</v>
      </c>
      <c r="H588" s="351" t="str">
        <f t="shared" si="31"/>
        <v>Leila Kimber</v>
      </c>
      <c r="I588" s="353">
        <f t="shared" si="32"/>
        <v>1583</v>
      </c>
      <c r="J588" s="353">
        <f t="shared" si="33"/>
        <v>38308</v>
      </c>
    </row>
    <row r="589" spans="1:10" x14ac:dyDescent="0.2">
      <c r="A589" s="207">
        <v>1584</v>
      </c>
      <c r="B589" s="207" t="s">
        <v>104</v>
      </c>
      <c r="C589" s="207" t="s">
        <v>1310</v>
      </c>
      <c r="D589" s="207" t="s">
        <v>1311</v>
      </c>
      <c r="E589" s="281">
        <v>0</v>
      </c>
      <c r="F589" s="281"/>
      <c r="G589" s="282">
        <v>37862</v>
      </c>
      <c r="H589" s="351" t="str">
        <f t="shared" si="31"/>
        <v>Ben Peddie</v>
      </c>
      <c r="I589" s="353">
        <f t="shared" si="32"/>
        <v>1584</v>
      </c>
      <c r="J589" s="353">
        <f t="shared" si="33"/>
        <v>37862</v>
      </c>
    </row>
    <row r="590" spans="1:10" x14ac:dyDescent="0.2">
      <c r="A590" s="207">
        <v>1585</v>
      </c>
      <c r="B590" s="207" t="s">
        <v>89</v>
      </c>
      <c r="C590" s="207" t="s">
        <v>1310</v>
      </c>
      <c r="D590" s="207" t="s">
        <v>1311</v>
      </c>
      <c r="E590" s="281">
        <v>0</v>
      </c>
      <c r="F590" s="281"/>
      <c r="G590" s="282">
        <v>38615</v>
      </c>
      <c r="H590" s="351" t="str">
        <f t="shared" si="31"/>
        <v>Joe Peddie</v>
      </c>
      <c r="I590" s="353">
        <f t="shared" si="32"/>
        <v>1585</v>
      </c>
      <c r="J590" s="353">
        <f t="shared" si="33"/>
        <v>38615</v>
      </c>
    </row>
    <row r="591" spans="1:10" x14ac:dyDescent="0.2">
      <c r="A591" s="207">
        <v>1586</v>
      </c>
      <c r="B591" s="207" t="s">
        <v>1218</v>
      </c>
      <c r="C591" s="207" t="s">
        <v>1312</v>
      </c>
      <c r="D591" s="207" t="s">
        <v>1311</v>
      </c>
      <c r="E591" s="281">
        <v>0</v>
      </c>
      <c r="F591" s="281"/>
      <c r="G591" s="282">
        <v>38303</v>
      </c>
      <c r="H591" s="351" t="str">
        <f t="shared" si="31"/>
        <v>Leo Beckman</v>
      </c>
      <c r="I591" s="353">
        <f t="shared" si="32"/>
        <v>1586</v>
      </c>
      <c r="J591" s="353">
        <f t="shared" si="33"/>
        <v>38303</v>
      </c>
    </row>
    <row r="592" spans="1:10" x14ac:dyDescent="0.2">
      <c r="A592" s="207">
        <v>1587</v>
      </c>
      <c r="B592" s="207" t="s">
        <v>199</v>
      </c>
      <c r="C592" s="207" t="s">
        <v>1312</v>
      </c>
      <c r="D592" s="207" t="s">
        <v>1311</v>
      </c>
      <c r="E592" s="281">
        <v>796962</v>
      </c>
      <c r="F592" s="281"/>
      <c r="G592" s="282">
        <v>23327</v>
      </c>
      <c r="H592" s="351" t="str">
        <f t="shared" si="31"/>
        <v>Phil Beckman</v>
      </c>
      <c r="I592" s="353">
        <f t="shared" si="32"/>
        <v>1587</v>
      </c>
      <c r="J592" s="353">
        <f t="shared" si="33"/>
        <v>23327</v>
      </c>
    </row>
    <row r="593" spans="1:10" x14ac:dyDescent="0.2">
      <c r="A593" s="207">
        <v>1588</v>
      </c>
      <c r="B593" s="207" t="s">
        <v>147</v>
      </c>
      <c r="C593" s="207" t="s">
        <v>1310</v>
      </c>
      <c r="D593" s="207" t="s">
        <v>1311</v>
      </c>
      <c r="E593" s="281">
        <v>842057</v>
      </c>
      <c r="F593" s="281"/>
      <c r="G593" s="282">
        <v>25099</v>
      </c>
      <c r="H593" s="351" t="str">
        <f t="shared" si="31"/>
        <v>Will Peddie</v>
      </c>
      <c r="I593" s="353">
        <f t="shared" si="32"/>
        <v>1588</v>
      </c>
      <c r="J593" s="353">
        <f t="shared" si="33"/>
        <v>25099</v>
      </c>
    </row>
    <row r="594" spans="1:10" x14ac:dyDescent="0.2">
      <c r="A594" s="207">
        <v>1589</v>
      </c>
      <c r="B594" s="207" t="s">
        <v>59</v>
      </c>
      <c r="C594" s="207" t="s">
        <v>1313</v>
      </c>
      <c r="D594" s="207" t="s">
        <v>1314</v>
      </c>
      <c r="E594" s="281">
        <v>798421</v>
      </c>
      <c r="F594" s="281"/>
      <c r="G594" s="282"/>
      <c r="H594" s="351" t="str">
        <f t="shared" si="31"/>
        <v>Andrew Lovell</v>
      </c>
      <c r="I594" s="353">
        <f t="shared" si="32"/>
        <v>1589</v>
      </c>
      <c r="J594" s="353">
        <f t="shared" si="33"/>
        <v>0</v>
      </c>
    </row>
    <row r="595" spans="1:10" x14ac:dyDescent="0.2">
      <c r="A595" s="207">
        <v>1590</v>
      </c>
      <c r="B595" s="207" t="s">
        <v>785</v>
      </c>
      <c r="C595" s="207" t="s">
        <v>786</v>
      </c>
      <c r="D595" s="207" t="s">
        <v>1314</v>
      </c>
      <c r="E595" s="281">
        <v>0</v>
      </c>
      <c r="F595" s="281" t="s">
        <v>35</v>
      </c>
      <c r="G595" s="282">
        <v>37293</v>
      </c>
      <c r="H595" s="351" t="str">
        <f t="shared" si="31"/>
        <v>Jenna Cann</v>
      </c>
      <c r="I595" s="353">
        <f t="shared" si="32"/>
        <v>1590</v>
      </c>
      <c r="J595" s="353">
        <f t="shared" si="33"/>
        <v>37293</v>
      </c>
    </row>
    <row r="596" spans="1:10" x14ac:dyDescent="0.2">
      <c r="A596" s="207">
        <v>1591</v>
      </c>
      <c r="B596" s="207" t="s">
        <v>780</v>
      </c>
      <c r="C596" s="207" t="s">
        <v>781</v>
      </c>
      <c r="D596" s="207" t="s">
        <v>1314</v>
      </c>
      <c r="E596" s="281">
        <v>0</v>
      </c>
      <c r="F596" s="281" t="s">
        <v>35</v>
      </c>
      <c r="G596" s="282">
        <v>37359</v>
      </c>
      <c r="H596" s="351" t="str">
        <f t="shared" si="31"/>
        <v>Niah Ismahoon</v>
      </c>
      <c r="I596" s="353">
        <f t="shared" si="32"/>
        <v>1591</v>
      </c>
      <c r="J596" s="353">
        <f t="shared" si="33"/>
        <v>37359</v>
      </c>
    </row>
    <row r="597" spans="1:10" x14ac:dyDescent="0.2">
      <c r="A597" s="207">
        <v>1592</v>
      </c>
      <c r="B597" s="207" t="s">
        <v>93</v>
      </c>
      <c r="C597" s="207" t="s">
        <v>784</v>
      </c>
      <c r="D597" s="207" t="s">
        <v>1314</v>
      </c>
      <c r="E597" s="281">
        <v>0</v>
      </c>
      <c r="F597" s="281"/>
      <c r="G597" s="282">
        <v>37045</v>
      </c>
      <c r="H597" s="351" t="str">
        <f t="shared" si="31"/>
        <v>Josh Postance-Eamer</v>
      </c>
      <c r="I597" s="353">
        <f t="shared" si="32"/>
        <v>1592</v>
      </c>
      <c r="J597" s="353">
        <f t="shared" si="33"/>
        <v>37045</v>
      </c>
    </row>
    <row r="598" spans="1:10" x14ac:dyDescent="0.2">
      <c r="A598" s="207">
        <v>1593</v>
      </c>
      <c r="B598" s="207" t="s">
        <v>782</v>
      </c>
      <c r="C598" s="207" t="s">
        <v>472</v>
      </c>
      <c r="D598" s="207" t="s">
        <v>1314</v>
      </c>
      <c r="E598" s="281">
        <v>0</v>
      </c>
      <c r="F598" s="281" t="s">
        <v>35</v>
      </c>
      <c r="G598" s="282">
        <v>37438</v>
      </c>
      <c r="H598" s="351" t="str">
        <f t="shared" si="31"/>
        <v>Jemma Stevens</v>
      </c>
      <c r="I598" s="353">
        <f t="shared" si="32"/>
        <v>1593</v>
      </c>
      <c r="J598" s="353">
        <f t="shared" si="33"/>
        <v>37438</v>
      </c>
    </row>
    <row r="599" spans="1:10" x14ac:dyDescent="0.2">
      <c r="A599" s="207">
        <v>1594</v>
      </c>
      <c r="B599" s="207" t="s">
        <v>123</v>
      </c>
      <c r="C599" s="207" t="s">
        <v>114</v>
      </c>
      <c r="D599" s="207" t="s">
        <v>1315</v>
      </c>
      <c r="E599" s="281">
        <v>0</v>
      </c>
      <c r="F599" s="281"/>
      <c r="G599" s="282">
        <v>36768</v>
      </c>
      <c r="H599" s="351" t="str">
        <f t="shared" si="31"/>
        <v>Owen Barker</v>
      </c>
      <c r="I599" s="353">
        <f t="shared" si="32"/>
        <v>1594</v>
      </c>
      <c r="J599" s="353">
        <f t="shared" si="33"/>
        <v>36768</v>
      </c>
    </row>
    <row r="600" spans="1:10" x14ac:dyDescent="0.2">
      <c r="A600" s="207">
        <v>1595</v>
      </c>
      <c r="B600" s="207" t="s">
        <v>115</v>
      </c>
      <c r="C600" s="207" t="s">
        <v>53</v>
      </c>
      <c r="D600" s="207" t="s">
        <v>1315</v>
      </c>
      <c r="E600" s="281">
        <v>0</v>
      </c>
      <c r="F600" s="281"/>
      <c r="G600" s="282">
        <v>36306</v>
      </c>
      <c r="H600" s="351" t="str">
        <f t="shared" si="31"/>
        <v>Jamie Brown</v>
      </c>
      <c r="I600" s="353">
        <f t="shared" si="32"/>
        <v>1595</v>
      </c>
      <c r="J600" s="353">
        <f t="shared" si="33"/>
        <v>36306</v>
      </c>
    </row>
    <row r="601" spans="1:10" x14ac:dyDescent="0.2">
      <c r="A601" s="207">
        <v>1596</v>
      </c>
      <c r="B601" s="207" t="s">
        <v>99</v>
      </c>
      <c r="C601" s="207" t="s">
        <v>696</v>
      </c>
      <c r="D601" s="207" t="s">
        <v>1315</v>
      </c>
      <c r="E601" s="281">
        <v>0</v>
      </c>
      <c r="F601" s="281"/>
      <c r="G601" s="282">
        <v>36143</v>
      </c>
      <c r="H601" s="351" t="str">
        <f t="shared" si="31"/>
        <v>Oliver Evans</v>
      </c>
      <c r="I601" s="353">
        <f t="shared" si="32"/>
        <v>1596</v>
      </c>
      <c r="J601" s="353">
        <f t="shared" si="33"/>
        <v>36143</v>
      </c>
    </row>
    <row r="602" spans="1:10" x14ac:dyDescent="0.2">
      <c r="A602" s="207">
        <v>1597</v>
      </c>
      <c r="B602" s="207" t="s">
        <v>699</v>
      </c>
      <c r="C602" s="207" t="s">
        <v>700</v>
      </c>
      <c r="D602" s="207" t="s">
        <v>1315</v>
      </c>
      <c r="E602" s="281">
        <v>11974064</v>
      </c>
      <c r="F602" s="281" t="s">
        <v>35</v>
      </c>
      <c r="G602" s="282">
        <v>36071</v>
      </c>
      <c r="H602" s="351" t="str">
        <f t="shared" si="31"/>
        <v>Lauren Manton</v>
      </c>
      <c r="I602" s="353">
        <f t="shared" si="32"/>
        <v>1597</v>
      </c>
      <c r="J602" s="353">
        <f t="shared" si="33"/>
        <v>36071</v>
      </c>
    </row>
    <row r="603" spans="1:10" x14ac:dyDescent="0.2">
      <c r="A603" s="207">
        <v>1598</v>
      </c>
      <c r="B603" s="207" t="s">
        <v>133</v>
      </c>
      <c r="C603" s="207" t="s">
        <v>116</v>
      </c>
      <c r="D603" s="207" t="s">
        <v>1315</v>
      </c>
      <c r="E603" s="281">
        <v>0</v>
      </c>
      <c r="F603" s="281"/>
      <c r="G603" s="282">
        <v>36233</v>
      </c>
      <c r="H603" s="351" t="str">
        <f t="shared" si="31"/>
        <v>Adam Robinson</v>
      </c>
      <c r="I603" s="353">
        <f t="shared" si="32"/>
        <v>1598</v>
      </c>
      <c r="J603" s="353">
        <f t="shared" si="33"/>
        <v>36233</v>
      </c>
    </row>
    <row r="604" spans="1:10" x14ac:dyDescent="0.2">
      <c r="A604" s="207">
        <v>1599</v>
      </c>
      <c r="B604" s="207" t="s">
        <v>697</v>
      </c>
      <c r="C604" s="207" t="s">
        <v>698</v>
      </c>
      <c r="D604" s="207" t="s">
        <v>1315</v>
      </c>
      <c r="E604" s="281">
        <v>0</v>
      </c>
      <c r="F604" s="281"/>
      <c r="G604" s="282">
        <v>36640</v>
      </c>
      <c r="H604" s="351" t="str">
        <f t="shared" si="31"/>
        <v>Misi Torley</v>
      </c>
      <c r="I604" s="353">
        <f t="shared" si="32"/>
        <v>1599</v>
      </c>
      <c r="J604" s="353">
        <f t="shared" si="33"/>
        <v>36640</v>
      </c>
    </row>
    <row r="605" spans="1:10" x14ac:dyDescent="0.2">
      <c r="A605" s="207">
        <v>1600</v>
      </c>
      <c r="B605" s="207" t="s">
        <v>197</v>
      </c>
      <c r="C605" s="207" t="s">
        <v>1316</v>
      </c>
      <c r="D605" s="207" t="s">
        <v>645</v>
      </c>
      <c r="E605" s="281">
        <v>0</v>
      </c>
      <c r="F605" s="281"/>
      <c r="G605" s="282">
        <v>37144</v>
      </c>
      <c r="H605" s="351" t="str">
        <f t="shared" si="31"/>
        <v>Alexander Barrett</v>
      </c>
      <c r="I605" s="353">
        <f t="shared" si="32"/>
        <v>1600</v>
      </c>
      <c r="J605" s="353">
        <f t="shared" si="33"/>
        <v>37144</v>
      </c>
    </row>
    <row r="606" spans="1:10" x14ac:dyDescent="0.2">
      <c r="A606" s="207">
        <v>1601</v>
      </c>
      <c r="B606" s="207" t="s">
        <v>47</v>
      </c>
      <c r="C606" s="207" t="s">
        <v>1317</v>
      </c>
      <c r="D606" s="207" t="s">
        <v>645</v>
      </c>
      <c r="E606" s="281">
        <v>0</v>
      </c>
      <c r="F606" s="281"/>
      <c r="G606" s="282">
        <v>36946</v>
      </c>
      <c r="H606" s="351" t="str">
        <f t="shared" si="31"/>
        <v>Stephen Chooi</v>
      </c>
      <c r="I606" s="353">
        <f t="shared" si="32"/>
        <v>1601</v>
      </c>
      <c r="J606" s="353">
        <f t="shared" si="33"/>
        <v>36946</v>
      </c>
    </row>
    <row r="607" spans="1:10" x14ac:dyDescent="0.2">
      <c r="A607" s="207">
        <v>1602</v>
      </c>
      <c r="B607" s="207" t="s">
        <v>104</v>
      </c>
      <c r="C607" s="207" t="s">
        <v>1318</v>
      </c>
      <c r="D607" s="207" t="s">
        <v>645</v>
      </c>
      <c r="E607" s="281">
        <v>0</v>
      </c>
      <c r="F607" s="281"/>
      <c r="G607" s="282">
        <v>37089</v>
      </c>
      <c r="H607" s="351" t="str">
        <f t="shared" si="31"/>
        <v>Ben Dumbar</v>
      </c>
      <c r="I607" s="353">
        <f t="shared" si="32"/>
        <v>1602</v>
      </c>
      <c r="J607" s="353">
        <f t="shared" si="33"/>
        <v>37089</v>
      </c>
    </row>
    <row r="608" spans="1:10" x14ac:dyDescent="0.2">
      <c r="A608" s="207">
        <v>1603</v>
      </c>
      <c r="B608" s="207" t="s">
        <v>129</v>
      </c>
      <c r="C608" s="207" t="s">
        <v>1002</v>
      </c>
      <c r="D608" s="207" t="s">
        <v>645</v>
      </c>
      <c r="E608" s="281">
        <v>0</v>
      </c>
      <c r="F608" s="281"/>
      <c r="G608" s="282">
        <v>37088</v>
      </c>
      <c r="H608" s="351" t="str">
        <f t="shared" si="31"/>
        <v>Tom Fowler</v>
      </c>
      <c r="I608" s="353">
        <f t="shared" si="32"/>
        <v>1603</v>
      </c>
      <c r="J608" s="353">
        <f t="shared" si="33"/>
        <v>37088</v>
      </c>
    </row>
    <row r="609" spans="1:10" x14ac:dyDescent="0.2">
      <c r="A609" s="207">
        <v>1604</v>
      </c>
      <c r="B609" s="207" t="s">
        <v>532</v>
      </c>
      <c r="C609" s="207" t="s">
        <v>1319</v>
      </c>
      <c r="D609" s="207" t="s">
        <v>645</v>
      </c>
      <c r="E609" s="281">
        <v>0</v>
      </c>
      <c r="F609" s="281"/>
      <c r="G609" s="282">
        <v>36831</v>
      </c>
      <c r="H609" s="351" t="str">
        <f t="shared" si="31"/>
        <v>Calvin Reay</v>
      </c>
      <c r="I609" s="353">
        <f t="shared" si="32"/>
        <v>1604</v>
      </c>
      <c r="J609" s="353">
        <f t="shared" si="33"/>
        <v>36831</v>
      </c>
    </row>
    <row r="610" spans="1:10" x14ac:dyDescent="0.2">
      <c r="A610" s="207">
        <v>1605</v>
      </c>
      <c r="B610" s="207" t="s">
        <v>119</v>
      </c>
      <c r="C610" s="207" t="s">
        <v>925</v>
      </c>
      <c r="D610" s="207" t="s">
        <v>645</v>
      </c>
      <c r="E610" s="281">
        <v>0</v>
      </c>
      <c r="F610" s="281"/>
      <c r="G610" s="282">
        <v>36143</v>
      </c>
      <c r="H610" s="351" t="str">
        <f t="shared" si="31"/>
        <v>William Winter</v>
      </c>
      <c r="I610" s="353">
        <f t="shared" si="32"/>
        <v>1605</v>
      </c>
      <c r="J610" s="353">
        <f t="shared" si="33"/>
        <v>36143</v>
      </c>
    </row>
    <row r="611" spans="1:10" x14ac:dyDescent="0.2">
      <c r="A611" s="207">
        <v>1606</v>
      </c>
      <c r="B611" s="207" t="s">
        <v>103</v>
      </c>
      <c r="C611" s="207" t="s">
        <v>1320</v>
      </c>
      <c r="D611" s="207" t="s">
        <v>645</v>
      </c>
      <c r="E611" s="281">
        <v>0</v>
      </c>
      <c r="F611" s="281"/>
      <c r="G611" s="282">
        <v>36914</v>
      </c>
      <c r="H611" s="351" t="str">
        <f t="shared" si="31"/>
        <v>Nathan Wise</v>
      </c>
      <c r="I611" s="353">
        <f t="shared" si="32"/>
        <v>1606</v>
      </c>
      <c r="J611" s="353">
        <f t="shared" si="33"/>
        <v>36914</v>
      </c>
    </row>
    <row r="612" spans="1:10" x14ac:dyDescent="0.2">
      <c r="A612" s="207">
        <v>1607</v>
      </c>
      <c r="B612" s="207" t="s">
        <v>92</v>
      </c>
      <c r="C612" s="207" t="s">
        <v>969</v>
      </c>
      <c r="D612" s="207" t="s">
        <v>964</v>
      </c>
      <c r="E612" s="281">
        <v>928631</v>
      </c>
      <c r="F612" s="281"/>
      <c r="G612" s="282">
        <v>23476</v>
      </c>
      <c r="H612" s="351" t="str">
        <f t="shared" si="31"/>
        <v>Paul Furlonger</v>
      </c>
      <c r="I612" s="353">
        <f t="shared" si="32"/>
        <v>1607</v>
      </c>
      <c r="J612" s="353">
        <f t="shared" si="33"/>
        <v>23476</v>
      </c>
    </row>
    <row r="613" spans="1:10" x14ac:dyDescent="0.2">
      <c r="A613" s="207">
        <v>1608</v>
      </c>
      <c r="B613" s="207" t="s">
        <v>89</v>
      </c>
      <c r="C613" s="207" t="s">
        <v>967</v>
      </c>
      <c r="D613" s="207" t="s">
        <v>964</v>
      </c>
      <c r="E613" s="281">
        <v>0</v>
      </c>
      <c r="F613" s="281"/>
      <c r="G613" s="282">
        <v>37872</v>
      </c>
      <c r="H613" s="351" t="str">
        <f t="shared" si="31"/>
        <v>Joe Baldry</v>
      </c>
      <c r="I613" s="353">
        <f t="shared" si="32"/>
        <v>1608</v>
      </c>
      <c r="J613" s="353">
        <f t="shared" si="33"/>
        <v>37872</v>
      </c>
    </row>
    <row r="614" spans="1:10" x14ac:dyDescent="0.2">
      <c r="A614" s="207">
        <v>1609</v>
      </c>
      <c r="B614" s="207" t="s">
        <v>151</v>
      </c>
      <c r="C614" s="207" t="s">
        <v>70</v>
      </c>
      <c r="D614" s="207" t="s">
        <v>964</v>
      </c>
      <c r="E614" s="281">
        <v>702957</v>
      </c>
      <c r="F614" s="281"/>
      <c r="G614" s="282">
        <v>34833</v>
      </c>
      <c r="H614" s="351" t="str">
        <f t="shared" si="31"/>
        <v>Ryan Smith</v>
      </c>
      <c r="I614" s="353">
        <f t="shared" si="32"/>
        <v>1609</v>
      </c>
      <c r="J614" s="353">
        <f t="shared" si="33"/>
        <v>34833</v>
      </c>
    </row>
    <row r="615" spans="1:10" x14ac:dyDescent="0.2">
      <c r="A615" s="207">
        <v>1610</v>
      </c>
      <c r="B615" s="207" t="s">
        <v>483</v>
      </c>
      <c r="C615" s="207" t="s">
        <v>232</v>
      </c>
      <c r="D615" s="207" t="s">
        <v>1321</v>
      </c>
      <c r="E615" s="281"/>
      <c r="F615" s="281"/>
      <c r="G615" s="282">
        <v>37332</v>
      </c>
      <c r="H615" s="351" t="str">
        <f t="shared" si="31"/>
        <v>Ross Crabbe</v>
      </c>
      <c r="I615" s="353">
        <f t="shared" si="32"/>
        <v>1610</v>
      </c>
      <c r="J615" s="353">
        <f t="shared" si="33"/>
        <v>37332</v>
      </c>
    </row>
    <row r="616" spans="1:10" x14ac:dyDescent="0.2">
      <c r="A616" s="207">
        <v>1611</v>
      </c>
      <c r="B616" s="207" t="s">
        <v>86</v>
      </c>
      <c r="C616" s="207" t="s">
        <v>970</v>
      </c>
      <c r="D616" s="207" t="s">
        <v>964</v>
      </c>
      <c r="E616" s="281">
        <v>0</v>
      </c>
      <c r="F616" s="281" t="s">
        <v>35</v>
      </c>
      <c r="G616" s="282">
        <v>37497</v>
      </c>
      <c r="H616" s="351" t="str">
        <f t="shared" si="31"/>
        <v>Katie Blakeley</v>
      </c>
      <c r="I616" s="353">
        <f t="shared" si="32"/>
        <v>1611</v>
      </c>
      <c r="J616" s="353">
        <f t="shared" si="33"/>
        <v>37497</v>
      </c>
    </row>
    <row r="617" spans="1:10" x14ac:dyDescent="0.2">
      <c r="A617" s="207">
        <v>1612</v>
      </c>
      <c r="B617" s="207" t="s">
        <v>968</v>
      </c>
      <c r="C617" s="207" t="s">
        <v>546</v>
      </c>
      <c r="D617" s="207" t="s">
        <v>964</v>
      </c>
      <c r="E617" s="281">
        <v>945072</v>
      </c>
      <c r="F617" s="281"/>
      <c r="G617" s="282">
        <v>27891</v>
      </c>
      <c r="H617" s="351" t="str">
        <f t="shared" si="31"/>
        <v>Rikki Bown</v>
      </c>
      <c r="I617" s="353">
        <f t="shared" si="32"/>
        <v>1612</v>
      </c>
      <c r="J617" s="353">
        <f t="shared" si="33"/>
        <v>27891</v>
      </c>
    </row>
    <row r="618" spans="1:10" x14ac:dyDescent="0.2">
      <c r="A618" s="207">
        <v>1613</v>
      </c>
      <c r="B618" s="207" t="s">
        <v>65</v>
      </c>
      <c r="C618" s="207" t="s">
        <v>141</v>
      </c>
      <c r="D618" s="207" t="s">
        <v>964</v>
      </c>
      <c r="E618" s="281">
        <v>0</v>
      </c>
      <c r="F618" s="281"/>
      <c r="G618" s="282">
        <v>37709</v>
      </c>
      <c r="H618" s="351" t="str">
        <f t="shared" si="31"/>
        <v>Daniel Hill</v>
      </c>
      <c r="I618" s="353">
        <f t="shared" si="32"/>
        <v>1613</v>
      </c>
      <c r="J618" s="353">
        <f t="shared" si="33"/>
        <v>37709</v>
      </c>
    </row>
    <row r="619" spans="1:10" x14ac:dyDescent="0.2">
      <c r="A619" s="207">
        <v>1614</v>
      </c>
      <c r="B619" s="207" t="s">
        <v>45</v>
      </c>
      <c r="C619" s="207" t="s">
        <v>965</v>
      </c>
      <c r="D619" s="207" t="s">
        <v>964</v>
      </c>
      <c r="E619" s="281">
        <v>0</v>
      </c>
      <c r="F619" s="281"/>
      <c r="G619" s="282">
        <v>37673</v>
      </c>
      <c r="H619" s="351" t="str">
        <f t="shared" si="31"/>
        <v>Charlie Peach-Bown</v>
      </c>
      <c r="I619" s="353">
        <f t="shared" si="32"/>
        <v>1614</v>
      </c>
      <c r="J619" s="353">
        <f t="shared" si="33"/>
        <v>37673</v>
      </c>
    </row>
    <row r="620" spans="1:10" x14ac:dyDescent="0.2">
      <c r="A620" s="207">
        <v>1615</v>
      </c>
      <c r="B620" s="207" t="s">
        <v>165</v>
      </c>
      <c r="C620" s="207" t="s">
        <v>966</v>
      </c>
      <c r="D620" s="207" t="s">
        <v>964</v>
      </c>
      <c r="E620" s="281">
        <v>0</v>
      </c>
      <c r="F620" s="281" t="s">
        <v>35</v>
      </c>
      <c r="G620" s="282">
        <v>37748</v>
      </c>
      <c r="H620" s="351" t="str">
        <f t="shared" si="31"/>
        <v>Emma Peek</v>
      </c>
      <c r="I620" s="353">
        <f t="shared" si="32"/>
        <v>1615</v>
      </c>
      <c r="J620" s="353">
        <f t="shared" si="33"/>
        <v>37748</v>
      </c>
    </row>
    <row r="621" spans="1:10" x14ac:dyDescent="0.2">
      <c r="A621" s="207">
        <v>1616</v>
      </c>
      <c r="B621" s="207" t="s">
        <v>207</v>
      </c>
      <c r="C621" s="207" t="s">
        <v>100</v>
      </c>
      <c r="D621" s="207" t="s">
        <v>964</v>
      </c>
      <c r="E621" s="281">
        <v>254677</v>
      </c>
      <c r="F621" s="281"/>
      <c r="G621" s="282">
        <v>26800</v>
      </c>
      <c r="H621" s="351" t="str">
        <f t="shared" si="31"/>
        <v>Simon Young</v>
      </c>
      <c r="I621" s="353">
        <f t="shared" si="32"/>
        <v>1616</v>
      </c>
      <c r="J621" s="353">
        <f t="shared" si="33"/>
        <v>26800</v>
      </c>
    </row>
    <row r="622" spans="1:10" x14ac:dyDescent="0.2">
      <c r="A622" s="207">
        <v>1617</v>
      </c>
      <c r="B622" s="207" t="s">
        <v>107</v>
      </c>
      <c r="C622" s="207" t="s">
        <v>748</v>
      </c>
      <c r="D622" s="207" t="s">
        <v>971</v>
      </c>
      <c r="E622" s="281">
        <v>288834</v>
      </c>
      <c r="F622" s="281"/>
      <c r="G622" s="282">
        <v>21618</v>
      </c>
      <c r="H622" s="351" t="str">
        <f t="shared" si="31"/>
        <v>Ian Wilson</v>
      </c>
      <c r="I622" s="353">
        <f t="shared" si="32"/>
        <v>1617</v>
      </c>
      <c r="J622" s="353">
        <f t="shared" si="33"/>
        <v>21618</v>
      </c>
    </row>
    <row r="623" spans="1:10" x14ac:dyDescent="0.2">
      <c r="A623" s="207">
        <v>1618</v>
      </c>
      <c r="B623" s="207" t="s">
        <v>972</v>
      </c>
      <c r="C623" s="207" t="s">
        <v>973</v>
      </c>
      <c r="D623" s="207" t="s">
        <v>971</v>
      </c>
      <c r="E623" s="281">
        <v>0</v>
      </c>
      <c r="F623" s="281"/>
      <c r="G623" s="282">
        <v>38371</v>
      </c>
      <c r="H623" s="351" t="str">
        <f t="shared" si="31"/>
        <v>Keane Barton</v>
      </c>
      <c r="I623" s="353">
        <f t="shared" si="32"/>
        <v>1618</v>
      </c>
      <c r="J623" s="353">
        <f t="shared" si="33"/>
        <v>38371</v>
      </c>
    </row>
    <row r="624" spans="1:10" x14ac:dyDescent="0.2">
      <c r="A624" s="207">
        <v>1619</v>
      </c>
      <c r="B624" s="207" t="s">
        <v>557</v>
      </c>
      <c r="C624" s="207" t="s">
        <v>1322</v>
      </c>
      <c r="D624" s="207" t="s">
        <v>971</v>
      </c>
      <c r="E624" s="281">
        <v>0</v>
      </c>
      <c r="F624" s="281"/>
      <c r="G624" s="282">
        <v>38062</v>
      </c>
      <c r="H624" s="351" t="str">
        <f t="shared" si="31"/>
        <v>Aiden Coombs</v>
      </c>
      <c r="I624" s="353">
        <f t="shared" si="32"/>
        <v>1619</v>
      </c>
      <c r="J624" s="353">
        <f t="shared" si="33"/>
        <v>38062</v>
      </c>
    </row>
    <row r="625" spans="1:10" x14ac:dyDescent="0.2">
      <c r="A625" s="207">
        <v>1620</v>
      </c>
      <c r="B625" s="207" t="s">
        <v>1323</v>
      </c>
      <c r="C625" s="207" t="s">
        <v>1324</v>
      </c>
      <c r="D625" s="207" t="s">
        <v>971</v>
      </c>
      <c r="E625" s="281">
        <v>0</v>
      </c>
      <c r="F625" s="281"/>
      <c r="G625" s="282">
        <v>38157</v>
      </c>
      <c r="H625" s="351" t="str">
        <f t="shared" si="31"/>
        <v>Korben Faulkner</v>
      </c>
      <c r="I625" s="353">
        <f t="shared" si="32"/>
        <v>1620</v>
      </c>
      <c r="J625" s="353">
        <f t="shared" si="33"/>
        <v>38157</v>
      </c>
    </row>
    <row r="626" spans="1:10" x14ac:dyDescent="0.2">
      <c r="A626" s="207">
        <v>1621</v>
      </c>
      <c r="B626" s="207" t="s">
        <v>179</v>
      </c>
      <c r="C626" s="207" t="s">
        <v>1325</v>
      </c>
      <c r="D626" s="207" t="s">
        <v>971</v>
      </c>
      <c r="E626" s="281">
        <v>0</v>
      </c>
      <c r="F626" s="281"/>
      <c r="G626" s="282">
        <v>38162</v>
      </c>
      <c r="H626" s="351" t="str">
        <f t="shared" si="31"/>
        <v>Jake Parker</v>
      </c>
      <c r="I626" s="353">
        <f t="shared" si="32"/>
        <v>1621</v>
      </c>
      <c r="J626" s="353">
        <f t="shared" si="33"/>
        <v>38162</v>
      </c>
    </row>
    <row r="627" spans="1:10" x14ac:dyDescent="0.2">
      <c r="A627" s="207">
        <v>1622</v>
      </c>
      <c r="B627" s="207" t="s">
        <v>622</v>
      </c>
      <c r="C627" s="207" t="s">
        <v>978</v>
      </c>
      <c r="D627" s="207" t="s">
        <v>971</v>
      </c>
      <c r="E627" s="281">
        <v>0</v>
      </c>
      <c r="F627" s="281"/>
      <c r="G627" s="282">
        <v>38368</v>
      </c>
      <c r="H627" s="351" t="str">
        <f t="shared" si="31"/>
        <v>Elliott Teeling</v>
      </c>
      <c r="I627" s="353">
        <f t="shared" si="32"/>
        <v>1622</v>
      </c>
      <c r="J627" s="353">
        <f t="shared" si="33"/>
        <v>38368</v>
      </c>
    </row>
    <row r="628" spans="1:10" x14ac:dyDescent="0.2">
      <c r="A628" s="207">
        <v>1623</v>
      </c>
      <c r="B628" s="207" t="s">
        <v>952</v>
      </c>
      <c r="C628" s="207" t="s">
        <v>1326</v>
      </c>
      <c r="D628" s="207" t="s">
        <v>789</v>
      </c>
      <c r="E628" s="281">
        <v>0</v>
      </c>
      <c r="F628" s="281"/>
      <c r="G628" s="282">
        <v>38039</v>
      </c>
      <c r="H628" s="351" t="str">
        <f t="shared" si="31"/>
        <v>Cameron Lancaster</v>
      </c>
      <c r="I628" s="353">
        <f t="shared" si="32"/>
        <v>1623</v>
      </c>
      <c r="J628" s="353">
        <f t="shared" si="33"/>
        <v>38039</v>
      </c>
    </row>
    <row r="629" spans="1:10" x14ac:dyDescent="0.2">
      <c r="A629" s="207">
        <v>1624</v>
      </c>
      <c r="B629" s="207" t="s">
        <v>1327</v>
      </c>
      <c r="C629" s="207" t="s">
        <v>1326</v>
      </c>
      <c r="D629" s="207" t="s">
        <v>789</v>
      </c>
      <c r="E629" s="281">
        <v>0</v>
      </c>
      <c r="F629" s="281" t="s">
        <v>35</v>
      </c>
      <c r="G629" s="282">
        <v>38712</v>
      </c>
      <c r="H629" s="351" t="str">
        <f t="shared" si="31"/>
        <v>Elodie Lancaster</v>
      </c>
      <c r="I629" s="353">
        <f t="shared" si="32"/>
        <v>1624</v>
      </c>
      <c r="J629" s="353">
        <f t="shared" si="33"/>
        <v>38712</v>
      </c>
    </row>
    <row r="630" spans="1:10" x14ac:dyDescent="0.2">
      <c r="A630" s="207">
        <v>1625</v>
      </c>
      <c r="B630" s="207" t="s">
        <v>69</v>
      </c>
      <c r="C630" s="207" t="s">
        <v>1328</v>
      </c>
      <c r="D630" s="207" t="s">
        <v>789</v>
      </c>
      <c r="E630" s="281"/>
      <c r="F630" s="281"/>
      <c r="G630" s="282"/>
      <c r="H630" s="351" t="str">
        <f t="shared" si="31"/>
        <v>David Fryer</v>
      </c>
      <c r="I630" s="353">
        <f t="shared" si="32"/>
        <v>1625</v>
      </c>
      <c r="J630" s="353">
        <f t="shared" si="33"/>
        <v>0</v>
      </c>
    </row>
    <row r="631" spans="1:10" x14ac:dyDescent="0.2">
      <c r="A631" s="207">
        <v>1626</v>
      </c>
      <c r="B631" s="207" t="s">
        <v>974</v>
      </c>
      <c r="C631" s="207" t="s">
        <v>790</v>
      </c>
      <c r="D631" s="207" t="s">
        <v>791</v>
      </c>
      <c r="E631" s="281">
        <v>689195</v>
      </c>
      <c r="F631" s="281"/>
      <c r="G631" s="282">
        <v>25236</v>
      </c>
      <c r="H631" s="351" t="str">
        <f t="shared" si="31"/>
        <v>Gareth Tunstall</v>
      </c>
      <c r="I631" s="353">
        <f t="shared" si="32"/>
        <v>1626</v>
      </c>
      <c r="J631" s="353">
        <f t="shared" si="33"/>
        <v>25236</v>
      </c>
    </row>
    <row r="632" spans="1:10" x14ac:dyDescent="0.2">
      <c r="A632" s="207">
        <v>1627</v>
      </c>
      <c r="B632" s="207" t="s">
        <v>103</v>
      </c>
      <c r="C632" s="207" t="s">
        <v>218</v>
      </c>
      <c r="D632" s="207" t="s">
        <v>977</v>
      </c>
      <c r="E632" s="281">
        <v>0</v>
      </c>
      <c r="F632" s="281"/>
      <c r="G632" s="282">
        <v>37537</v>
      </c>
      <c r="H632" s="351" t="str">
        <f t="shared" si="31"/>
        <v>Nathan Bennett</v>
      </c>
      <c r="I632" s="353">
        <f t="shared" si="32"/>
        <v>1627</v>
      </c>
      <c r="J632" s="353">
        <f t="shared" si="33"/>
        <v>37537</v>
      </c>
    </row>
    <row r="633" spans="1:10" x14ac:dyDescent="0.2">
      <c r="A633" s="207">
        <v>1628</v>
      </c>
      <c r="B633" s="207" t="s">
        <v>119</v>
      </c>
      <c r="C633" s="207" t="s">
        <v>520</v>
      </c>
      <c r="D633" s="207" t="s">
        <v>977</v>
      </c>
      <c r="E633" s="281">
        <v>0</v>
      </c>
      <c r="F633" s="281"/>
      <c r="G633" s="282">
        <v>38474</v>
      </c>
      <c r="H633" s="351" t="str">
        <f t="shared" si="31"/>
        <v>William Moore</v>
      </c>
      <c r="I633" s="353">
        <f t="shared" si="32"/>
        <v>1628</v>
      </c>
      <c r="J633" s="353">
        <f t="shared" si="33"/>
        <v>38474</v>
      </c>
    </row>
    <row r="634" spans="1:10" x14ac:dyDescent="0.2">
      <c r="A634" s="207">
        <v>1629</v>
      </c>
      <c r="B634" s="207" t="s">
        <v>975</v>
      </c>
      <c r="C634" s="207" t="s">
        <v>976</v>
      </c>
      <c r="D634" s="207" t="s">
        <v>977</v>
      </c>
      <c r="E634" s="281">
        <v>0</v>
      </c>
      <c r="F634" s="281" t="s">
        <v>35</v>
      </c>
      <c r="G634" s="282">
        <v>37689</v>
      </c>
      <c r="H634" s="351" t="str">
        <f t="shared" si="31"/>
        <v>Reanne Witheridge</v>
      </c>
      <c r="I634" s="353">
        <f t="shared" si="32"/>
        <v>1629</v>
      </c>
      <c r="J634" s="353">
        <f t="shared" si="33"/>
        <v>37689</v>
      </c>
    </row>
    <row r="635" spans="1:10" x14ac:dyDescent="0.2">
      <c r="A635" s="207">
        <v>1630</v>
      </c>
      <c r="B635" s="207" t="s">
        <v>131</v>
      </c>
      <c r="C635" s="207" t="s">
        <v>979</v>
      </c>
      <c r="D635" s="207" t="s">
        <v>793</v>
      </c>
      <c r="E635" s="281">
        <v>84742</v>
      </c>
      <c r="F635" s="281"/>
      <c r="G635" s="282"/>
      <c r="H635" s="351" t="str">
        <f t="shared" si="31"/>
        <v>Colin Frew</v>
      </c>
      <c r="I635" s="353">
        <f t="shared" si="32"/>
        <v>1630</v>
      </c>
      <c r="J635" s="353">
        <f t="shared" si="33"/>
        <v>0</v>
      </c>
    </row>
    <row r="636" spans="1:10" x14ac:dyDescent="0.2">
      <c r="A636" s="207">
        <v>1631</v>
      </c>
      <c r="B636" s="207" t="s">
        <v>79</v>
      </c>
      <c r="C636" s="207" t="s">
        <v>792</v>
      </c>
      <c r="D636" s="207" t="s">
        <v>793</v>
      </c>
      <c r="E636" s="281">
        <v>854359</v>
      </c>
      <c r="F636" s="281"/>
      <c r="G636" s="282"/>
      <c r="H636" s="351" t="str">
        <f t="shared" si="31"/>
        <v>Robert Parsonage</v>
      </c>
      <c r="I636" s="353">
        <f t="shared" si="32"/>
        <v>1631</v>
      </c>
      <c r="J636" s="353">
        <f t="shared" si="33"/>
        <v>0</v>
      </c>
    </row>
    <row r="637" spans="1:10" x14ac:dyDescent="0.2">
      <c r="A637" s="207">
        <v>1632</v>
      </c>
      <c r="B637" s="207" t="s">
        <v>66</v>
      </c>
      <c r="C637" s="207" t="s">
        <v>1329</v>
      </c>
      <c r="D637" s="207" t="s">
        <v>793</v>
      </c>
      <c r="E637" s="281">
        <v>0</v>
      </c>
      <c r="F637" s="281"/>
      <c r="G637" s="282">
        <v>37820</v>
      </c>
      <c r="H637" s="351" t="str">
        <f t="shared" si="31"/>
        <v>Matthew Connell</v>
      </c>
      <c r="I637" s="353">
        <f t="shared" si="32"/>
        <v>1632</v>
      </c>
      <c r="J637" s="353">
        <f t="shared" si="33"/>
        <v>37820</v>
      </c>
    </row>
    <row r="638" spans="1:10" x14ac:dyDescent="0.2">
      <c r="A638" s="207">
        <v>1633</v>
      </c>
      <c r="B638" s="207" t="s">
        <v>188</v>
      </c>
      <c r="C638" s="207" t="s">
        <v>1330</v>
      </c>
      <c r="D638" s="207" t="s">
        <v>793</v>
      </c>
      <c r="E638" s="281">
        <v>0</v>
      </c>
      <c r="F638" s="281"/>
      <c r="G638" s="282">
        <v>38009</v>
      </c>
      <c r="H638" s="351" t="str">
        <f t="shared" si="31"/>
        <v>Harrison Dodd</v>
      </c>
      <c r="I638" s="353">
        <f t="shared" si="32"/>
        <v>1633</v>
      </c>
      <c r="J638" s="353">
        <f t="shared" si="33"/>
        <v>38009</v>
      </c>
    </row>
    <row r="639" spans="1:10" x14ac:dyDescent="0.2">
      <c r="A639" s="207">
        <v>1634</v>
      </c>
      <c r="B639" s="207" t="s">
        <v>47</v>
      </c>
      <c r="C639" s="207" t="s">
        <v>980</v>
      </c>
      <c r="D639" s="207" t="s">
        <v>793</v>
      </c>
      <c r="E639" s="281">
        <v>0</v>
      </c>
      <c r="F639" s="281"/>
      <c r="G639" s="282">
        <v>37905</v>
      </c>
      <c r="H639" s="351" t="str">
        <f t="shared" si="31"/>
        <v>Stephen Huxley</v>
      </c>
      <c r="I639" s="353">
        <f t="shared" si="32"/>
        <v>1634</v>
      </c>
      <c r="J639" s="353">
        <f t="shared" si="33"/>
        <v>37905</v>
      </c>
    </row>
    <row r="640" spans="1:10" x14ac:dyDescent="0.2">
      <c r="A640" s="207">
        <v>1635</v>
      </c>
      <c r="B640" s="207" t="s">
        <v>96</v>
      </c>
      <c r="C640" s="207" t="s">
        <v>1331</v>
      </c>
      <c r="D640" s="207" t="s">
        <v>793</v>
      </c>
      <c r="E640" s="281">
        <v>0</v>
      </c>
      <c r="F640" s="281"/>
      <c r="G640" s="282">
        <v>38675</v>
      </c>
      <c r="H640" s="351" t="str">
        <f t="shared" si="31"/>
        <v>Thomas Owens</v>
      </c>
      <c r="I640" s="353">
        <f t="shared" si="32"/>
        <v>1635</v>
      </c>
      <c r="J640" s="353">
        <f t="shared" si="33"/>
        <v>38675</v>
      </c>
    </row>
    <row r="641" spans="1:10" x14ac:dyDescent="0.2">
      <c r="A641" s="207">
        <v>1636</v>
      </c>
      <c r="B641" s="207" t="s">
        <v>115</v>
      </c>
      <c r="C641" s="207" t="s">
        <v>1332</v>
      </c>
      <c r="D641" s="207" t="s">
        <v>793</v>
      </c>
      <c r="E641" s="281">
        <v>0</v>
      </c>
      <c r="F641" s="281"/>
      <c r="G641" s="282">
        <v>38306</v>
      </c>
      <c r="H641" s="351" t="str">
        <f t="shared" si="31"/>
        <v>Jamie Suviste</v>
      </c>
      <c r="I641" s="353">
        <f t="shared" si="32"/>
        <v>1636</v>
      </c>
      <c r="J641" s="353">
        <f t="shared" si="33"/>
        <v>38306</v>
      </c>
    </row>
    <row r="642" spans="1:10" x14ac:dyDescent="0.2">
      <c r="A642" s="207">
        <v>1637</v>
      </c>
      <c r="B642" s="207" t="s">
        <v>99</v>
      </c>
      <c r="C642" s="207" t="s">
        <v>653</v>
      </c>
      <c r="D642" s="207" t="s">
        <v>793</v>
      </c>
      <c r="E642" s="281">
        <v>0</v>
      </c>
      <c r="F642" s="281"/>
      <c r="G642" s="282">
        <v>38404</v>
      </c>
      <c r="H642" s="351" t="str">
        <f t="shared" si="31"/>
        <v>Oliver White</v>
      </c>
      <c r="I642" s="353">
        <f t="shared" si="32"/>
        <v>1637</v>
      </c>
      <c r="J642" s="353">
        <f t="shared" si="33"/>
        <v>38404</v>
      </c>
    </row>
    <row r="643" spans="1:10" x14ac:dyDescent="0.2">
      <c r="A643" s="207">
        <v>1638</v>
      </c>
      <c r="B643" s="207" t="s">
        <v>86</v>
      </c>
      <c r="C643" s="207" t="s">
        <v>796</v>
      </c>
      <c r="D643" s="207" t="s">
        <v>981</v>
      </c>
      <c r="E643" s="281">
        <v>0</v>
      </c>
      <c r="F643" s="281" t="s">
        <v>35</v>
      </c>
      <c r="G643" s="282">
        <v>36431</v>
      </c>
      <c r="H643" s="351" t="str">
        <f t="shared" si="31"/>
        <v>Katie Holmes</v>
      </c>
      <c r="I643" s="353">
        <f t="shared" si="32"/>
        <v>1638</v>
      </c>
      <c r="J643" s="353">
        <f t="shared" si="33"/>
        <v>36431</v>
      </c>
    </row>
    <row r="644" spans="1:10" x14ac:dyDescent="0.2">
      <c r="A644" s="207">
        <v>1639</v>
      </c>
      <c r="B644" s="207" t="s">
        <v>1333</v>
      </c>
      <c r="C644" s="207" t="s">
        <v>1325</v>
      </c>
      <c r="D644" s="207" t="s">
        <v>981</v>
      </c>
      <c r="E644" s="281">
        <v>0</v>
      </c>
      <c r="F644" s="281" t="s">
        <v>35</v>
      </c>
      <c r="G644" s="282">
        <v>37030</v>
      </c>
      <c r="H644" s="351" t="str">
        <f t="shared" si="31"/>
        <v>Abigale Parker</v>
      </c>
      <c r="I644" s="353">
        <f t="shared" si="32"/>
        <v>1639</v>
      </c>
      <c r="J644" s="353">
        <f t="shared" si="33"/>
        <v>37030</v>
      </c>
    </row>
    <row r="645" spans="1:10" x14ac:dyDescent="0.2">
      <c r="A645" s="207">
        <v>1640</v>
      </c>
      <c r="B645" s="207" t="s">
        <v>937</v>
      </c>
      <c r="C645" s="207" t="s">
        <v>792</v>
      </c>
      <c r="D645" s="207" t="s">
        <v>981</v>
      </c>
      <c r="E645" s="281">
        <v>0</v>
      </c>
      <c r="F645" s="281" t="s">
        <v>35</v>
      </c>
      <c r="G645" s="282">
        <v>37231</v>
      </c>
      <c r="H645" s="351" t="str">
        <f t="shared" si="31"/>
        <v>Chloë Parsonage</v>
      </c>
      <c r="I645" s="353">
        <f t="shared" si="32"/>
        <v>1640</v>
      </c>
      <c r="J645" s="353">
        <f t="shared" si="33"/>
        <v>37231</v>
      </c>
    </row>
    <row r="646" spans="1:10" x14ac:dyDescent="0.2">
      <c r="A646" s="207">
        <v>1641</v>
      </c>
      <c r="B646" s="207" t="s">
        <v>176</v>
      </c>
      <c r="C646" s="207" t="s">
        <v>471</v>
      </c>
      <c r="D646" s="207" t="s">
        <v>982</v>
      </c>
      <c r="E646" s="281">
        <v>0</v>
      </c>
      <c r="F646" s="281"/>
      <c r="G646" s="282">
        <v>37050</v>
      </c>
      <c r="H646" s="351" t="str">
        <f t="shared" si="31"/>
        <v>Benjamin Allen</v>
      </c>
      <c r="I646" s="353">
        <f t="shared" si="32"/>
        <v>1641</v>
      </c>
      <c r="J646" s="353">
        <f t="shared" si="33"/>
        <v>37050</v>
      </c>
    </row>
    <row r="647" spans="1:10" x14ac:dyDescent="0.2">
      <c r="A647" s="207">
        <v>1642</v>
      </c>
      <c r="B647" s="207" t="s">
        <v>491</v>
      </c>
      <c r="C647" s="207" t="s">
        <v>795</v>
      </c>
      <c r="D647" s="207" t="s">
        <v>982</v>
      </c>
      <c r="E647" s="281">
        <v>0</v>
      </c>
      <c r="F647" s="281"/>
      <c r="G647" s="282">
        <v>36636</v>
      </c>
      <c r="H647" s="351" t="str">
        <f t="shared" si="31"/>
        <v>Christian Lummus</v>
      </c>
      <c r="I647" s="353">
        <f t="shared" si="32"/>
        <v>1642</v>
      </c>
      <c r="J647" s="353">
        <f t="shared" si="33"/>
        <v>36636</v>
      </c>
    </row>
    <row r="648" spans="1:10" x14ac:dyDescent="0.2">
      <c r="A648" s="207">
        <v>1643</v>
      </c>
      <c r="B648" s="207" t="s">
        <v>714</v>
      </c>
      <c r="C648" s="207" t="s">
        <v>790</v>
      </c>
      <c r="D648" s="207" t="s">
        <v>983</v>
      </c>
      <c r="E648" s="281">
        <v>0</v>
      </c>
      <c r="F648" s="281" t="s">
        <v>35</v>
      </c>
      <c r="G648" s="282">
        <v>36211</v>
      </c>
      <c r="H648" s="351" t="str">
        <f t="shared" si="31"/>
        <v>Emily Tunstall</v>
      </c>
      <c r="I648" s="353">
        <f t="shared" si="32"/>
        <v>1643</v>
      </c>
      <c r="J648" s="353">
        <f t="shared" si="33"/>
        <v>36211</v>
      </c>
    </row>
    <row r="649" spans="1:10" x14ac:dyDescent="0.2">
      <c r="A649" s="207">
        <v>1644</v>
      </c>
      <c r="B649" s="207" t="s">
        <v>49</v>
      </c>
      <c r="C649" s="207" t="s">
        <v>790</v>
      </c>
      <c r="D649" s="207" t="s">
        <v>983</v>
      </c>
      <c r="E649" s="281">
        <v>0</v>
      </c>
      <c r="F649" s="281"/>
      <c r="G649" s="282">
        <v>36930</v>
      </c>
      <c r="H649" s="351" t="str">
        <f t="shared" ref="H649:H712" si="34">CONCATENATE(B649," ",C649)</f>
        <v>James Tunstall</v>
      </c>
      <c r="I649" s="353">
        <f t="shared" ref="I649:I712" si="35">A649</f>
        <v>1644</v>
      </c>
      <c r="J649" s="353">
        <f t="shared" ref="J649:J712" si="36">G649</f>
        <v>36930</v>
      </c>
    </row>
    <row r="650" spans="1:10" x14ac:dyDescent="0.2">
      <c r="A650" s="207">
        <v>1645</v>
      </c>
      <c r="B650" s="207" t="s">
        <v>710</v>
      </c>
      <c r="C650" s="207" t="s">
        <v>976</v>
      </c>
      <c r="D650" s="207" t="s">
        <v>983</v>
      </c>
      <c r="E650" s="281">
        <v>0</v>
      </c>
      <c r="F650" s="281"/>
      <c r="G650" s="282">
        <v>37138</v>
      </c>
      <c r="H650" s="351" t="str">
        <f t="shared" si="34"/>
        <v>Jordan Witheridge</v>
      </c>
      <c r="I650" s="353">
        <f t="shared" si="35"/>
        <v>1645</v>
      </c>
      <c r="J650" s="353">
        <f t="shared" si="36"/>
        <v>37138</v>
      </c>
    </row>
    <row r="651" spans="1:10" x14ac:dyDescent="0.2">
      <c r="A651" s="207">
        <v>1646</v>
      </c>
      <c r="B651" s="207" t="s">
        <v>54</v>
      </c>
      <c r="C651" s="207" t="s">
        <v>556</v>
      </c>
      <c r="D651" s="207" t="s">
        <v>755</v>
      </c>
      <c r="E651" s="281">
        <v>0</v>
      </c>
      <c r="F651" s="281"/>
      <c r="G651" s="282">
        <v>36960</v>
      </c>
      <c r="H651" s="351" t="str">
        <f t="shared" si="34"/>
        <v>Joseph Cooke</v>
      </c>
      <c r="I651" s="353">
        <f t="shared" si="35"/>
        <v>1646</v>
      </c>
      <c r="J651" s="353">
        <f t="shared" si="36"/>
        <v>36960</v>
      </c>
    </row>
    <row r="652" spans="1:10" x14ac:dyDescent="0.2">
      <c r="A652" s="207">
        <v>1647</v>
      </c>
      <c r="B652" s="207" t="s">
        <v>62</v>
      </c>
      <c r="C652" s="207" t="s">
        <v>1334</v>
      </c>
      <c r="D652" s="207" t="s">
        <v>755</v>
      </c>
      <c r="E652" s="281">
        <v>0</v>
      </c>
      <c r="F652" s="281"/>
      <c r="G652" s="282">
        <v>36941</v>
      </c>
      <c r="H652" s="351" t="str">
        <f t="shared" si="34"/>
        <v>Callum Poolton</v>
      </c>
      <c r="I652" s="353">
        <f t="shared" si="35"/>
        <v>1647</v>
      </c>
      <c r="J652" s="353">
        <f t="shared" si="36"/>
        <v>36941</v>
      </c>
    </row>
    <row r="653" spans="1:10" x14ac:dyDescent="0.2">
      <c r="A653" s="207">
        <v>1648</v>
      </c>
      <c r="B653" s="207" t="s">
        <v>170</v>
      </c>
      <c r="C653" s="207" t="s">
        <v>1335</v>
      </c>
      <c r="D653" s="207" t="s">
        <v>755</v>
      </c>
      <c r="E653" s="281">
        <v>0</v>
      </c>
      <c r="F653" s="281"/>
      <c r="G653" s="282">
        <v>36200</v>
      </c>
      <c r="H653" s="351" t="str">
        <f t="shared" si="34"/>
        <v>Isaac Priest</v>
      </c>
      <c r="I653" s="353">
        <f t="shared" si="35"/>
        <v>1648</v>
      </c>
      <c r="J653" s="353">
        <f t="shared" si="36"/>
        <v>36200</v>
      </c>
    </row>
    <row r="654" spans="1:10" x14ac:dyDescent="0.2">
      <c r="A654" s="207">
        <v>1649</v>
      </c>
      <c r="B654" s="207" t="s">
        <v>1336</v>
      </c>
      <c r="C654" s="207" t="s">
        <v>1337</v>
      </c>
      <c r="D654" s="207" t="s">
        <v>755</v>
      </c>
      <c r="E654" s="281">
        <v>0</v>
      </c>
      <c r="F654" s="281"/>
      <c r="G654" s="282">
        <v>37093</v>
      </c>
      <c r="H654" s="351" t="str">
        <f t="shared" si="34"/>
        <v>Sidney Whittington</v>
      </c>
      <c r="I654" s="353">
        <f t="shared" si="35"/>
        <v>1649</v>
      </c>
      <c r="J654" s="353">
        <f t="shared" si="36"/>
        <v>37093</v>
      </c>
    </row>
    <row r="655" spans="1:10" x14ac:dyDescent="0.2">
      <c r="A655" s="207">
        <v>1650</v>
      </c>
      <c r="B655" s="207" t="s">
        <v>1338</v>
      </c>
      <c r="C655" s="207" t="s">
        <v>175</v>
      </c>
      <c r="D655" s="207" t="s">
        <v>1339</v>
      </c>
      <c r="E655" s="281">
        <v>0</v>
      </c>
      <c r="F655" s="281" t="s">
        <v>35</v>
      </c>
      <c r="G655" s="282">
        <v>38784</v>
      </c>
      <c r="H655" s="351" t="str">
        <f t="shared" si="34"/>
        <v>Amie Hancox</v>
      </c>
      <c r="I655" s="353">
        <f t="shared" si="35"/>
        <v>1650</v>
      </c>
      <c r="J655" s="353">
        <f t="shared" si="36"/>
        <v>38784</v>
      </c>
    </row>
    <row r="656" spans="1:10" x14ac:dyDescent="0.2">
      <c r="A656" s="207">
        <v>1651</v>
      </c>
      <c r="B656" s="207" t="s">
        <v>59</v>
      </c>
      <c r="C656" s="207" t="s">
        <v>1340</v>
      </c>
      <c r="D656" s="207" t="s">
        <v>1339</v>
      </c>
      <c r="E656" s="281">
        <v>972758</v>
      </c>
      <c r="F656" s="281"/>
      <c r="G656" s="282">
        <v>25231</v>
      </c>
      <c r="H656" s="351" t="str">
        <f t="shared" si="34"/>
        <v>Andrew Walker</v>
      </c>
      <c r="I656" s="353">
        <f t="shared" si="35"/>
        <v>1651</v>
      </c>
      <c r="J656" s="353">
        <f t="shared" si="36"/>
        <v>25231</v>
      </c>
    </row>
    <row r="657" spans="1:10" x14ac:dyDescent="0.2">
      <c r="A657" s="207">
        <v>1652</v>
      </c>
      <c r="B657" s="207" t="s">
        <v>184</v>
      </c>
      <c r="C657" s="207" t="s">
        <v>1340</v>
      </c>
      <c r="D657" s="207" t="s">
        <v>1339</v>
      </c>
      <c r="E657" s="281">
        <v>0</v>
      </c>
      <c r="F657" s="281" t="s">
        <v>35</v>
      </c>
      <c r="G657" s="282">
        <v>38252</v>
      </c>
      <c r="H657" s="351" t="str">
        <f t="shared" si="34"/>
        <v>Eleanor Walker</v>
      </c>
      <c r="I657" s="353">
        <f t="shared" si="35"/>
        <v>1652</v>
      </c>
      <c r="J657" s="353">
        <f t="shared" si="36"/>
        <v>38252</v>
      </c>
    </row>
    <row r="658" spans="1:10" x14ac:dyDescent="0.2">
      <c r="A658" s="207">
        <v>1653</v>
      </c>
      <c r="B658" s="207" t="s">
        <v>58</v>
      </c>
      <c r="C658" s="207" t="s">
        <v>175</v>
      </c>
      <c r="D658" s="207" t="s">
        <v>999</v>
      </c>
      <c r="E658" s="281">
        <v>304042</v>
      </c>
      <c r="F658" s="281"/>
      <c r="G658" s="282">
        <v>25405</v>
      </c>
      <c r="H658" s="351" t="str">
        <f t="shared" si="34"/>
        <v>John Hancox</v>
      </c>
      <c r="I658" s="353">
        <f t="shared" si="35"/>
        <v>1653</v>
      </c>
      <c r="J658" s="353">
        <f t="shared" si="36"/>
        <v>25405</v>
      </c>
    </row>
    <row r="659" spans="1:10" x14ac:dyDescent="0.2">
      <c r="A659" s="207">
        <v>1654</v>
      </c>
      <c r="B659" s="207" t="s">
        <v>139</v>
      </c>
      <c r="C659" s="207" t="s">
        <v>175</v>
      </c>
      <c r="D659" s="207" t="s">
        <v>999</v>
      </c>
      <c r="E659" s="281">
        <v>999999</v>
      </c>
      <c r="F659" s="281"/>
      <c r="G659" s="282">
        <v>36044</v>
      </c>
      <c r="H659" s="351" t="str">
        <f t="shared" si="34"/>
        <v>Sean Hancox</v>
      </c>
      <c r="I659" s="353">
        <f t="shared" si="35"/>
        <v>1654</v>
      </c>
      <c r="J659" s="353">
        <f t="shared" si="36"/>
        <v>36044</v>
      </c>
    </row>
    <row r="660" spans="1:10" x14ac:dyDescent="0.2">
      <c r="A660" s="207">
        <v>1655</v>
      </c>
      <c r="B660" s="207" t="s">
        <v>59</v>
      </c>
      <c r="C660" s="207" t="s">
        <v>478</v>
      </c>
      <c r="D660" s="207" t="s">
        <v>999</v>
      </c>
      <c r="E660" s="281">
        <v>660941</v>
      </c>
      <c r="F660" s="281"/>
      <c r="G660" s="282">
        <v>23851</v>
      </c>
      <c r="H660" s="351" t="str">
        <f t="shared" si="34"/>
        <v>Andrew Kearsey</v>
      </c>
      <c r="I660" s="353">
        <f t="shared" si="35"/>
        <v>1655</v>
      </c>
      <c r="J660" s="353">
        <f t="shared" si="36"/>
        <v>23851</v>
      </c>
    </row>
    <row r="661" spans="1:10" x14ac:dyDescent="0.2">
      <c r="A661" s="207">
        <v>1656</v>
      </c>
      <c r="B661" s="207" t="s">
        <v>200</v>
      </c>
      <c r="C661" s="207" t="s">
        <v>478</v>
      </c>
      <c r="D661" s="207" t="s">
        <v>999</v>
      </c>
      <c r="E661" s="281">
        <v>0</v>
      </c>
      <c r="F661" s="281" t="s">
        <v>35</v>
      </c>
      <c r="G661" s="282">
        <v>36133</v>
      </c>
      <c r="H661" s="351" t="str">
        <f t="shared" si="34"/>
        <v>Hannah Kearsey</v>
      </c>
      <c r="I661" s="353">
        <f t="shared" si="35"/>
        <v>1656</v>
      </c>
      <c r="J661" s="353">
        <f t="shared" si="36"/>
        <v>36133</v>
      </c>
    </row>
    <row r="662" spans="1:10" x14ac:dyDescent="0.2">
      <c r="A662" s="207">
        <v>1657</v>
      </c>
      <c r="B662" s="207" t="s">
        <v>200</v>
      </c>
      <c r="C662" s="207" t="s">
        <v>477</v>
      </c>
      <c r="D662" s="207" t="s">
        <v>999</v>
      </c>
      <c r="E662" s="281">
        <v>0</v>
      </c>
      <c r="F662" s="281" t="s">
        <v>35</v>
      </c>
      <c r="G662" s="282">
        <v>36716</v>
      </c>
      <c r="H662" s="351" t="str">
        <f t="shared" si="34"/>
        <v>Hannah Lee</v>
      </c>
      <c r="I662" s="353">
        <f t="shared" si="35"/>
        <v>1657</v>
      </c>
      <c r="J662" s="353">
        <f t="shared" si="36"/>
        <v>36716</v>
      </c>
    </row>
    <row r="663" spans="1:10" x14ac:dyDescent="0.2">
      <c r="A663" s="207">
        <v>1658</v>
      </c>
      <c r="B663" s="207" t="s">
        <v>54</v>
      </c>
      <c r="C663" s="207" t="s">
        <v>1341</v>
      </c>
      <c r="D663" s="207" t="s">
        <v>999</v>
      </c>
      <c r="E663" s="281">
        <v>0</v>
      </c>
      <c r="F663" s="281"/>
      <c r="G663" s="282">
        <v>37375</v>
      </c>
      <c r="H663" s="351" t="str">
        <f t="shared" si="34"/>
        <v>Joseph Loughrey</v>
      </c>
      <c r="I663" s="353">
        <f t="shared" si="35"/>
        <v>1658</v>
      </c>
      <c r="J663" s="353">
        <f t="shared" si="36"/>
        <v>37375</v>
      </c>
    </row>
    <row r="664" spans="1:10" x14ac:dyDescent="0.2">
      <c r="A664" s="207">
        <v>1659</v>
      </c>
      <c r="B664" s="207" t="s">
        <v>123</v>
      </c>
      <c r="C664" s="207" t="s">
        <v>1342</v>
      </c>
      <c r="D664" s="207" t="s">
        <v>999</v>
      </c>
      <c r="E664" s="281">
        <v>0</v>
      </c>
      <c r="F664" s="281"/>
      <c r="G664" s="282">
        <v>36189</v>
      </c>
      <c r="H664" s="351" t="str">
        <f t="shared" si="34"/>
        <v>Owen Slade</v>
      </c>
      <c r="I664" s="353">
        <f t="shared" si="35"/>
        <v>1659</v>
      </c>
      <c r="J664" s="353">
        <f t="shared" si="36"/>
        <v>36189</v>
      </c>
    </row>
    <row r="665" spans="1:10" x14ac:dyDescent="0.2">
      <c r="A665" s="207">
        <v>1660</v>
      </c>
      <c r="B665" s="207" t="s">
        <v>542</v>
      </c>
      <c r="C665" s="207" t="s">
        <v>517</v>
      </c>
      <c r="D665" s="207" t="s">
        <v>518</v>
      </c>
      <c r="E665" s="281">
        <v>109331</v>
      </c>
      <c r="F665" s="281"/>
      <c r="G665" s="282">
        <v>22886</v>
      </c>
      <c r="H665" s="351" t="str">
        <f t="shared" si="34"/>
        <v>Guy Kinder</v>
      </c>
      <c r="I665" s="353">
        <f t="shared" si="35"/>
        <v>1660</v>
      </c>
      <c r="J665" s="353">
        <f t="shared" si="36"/>
        <v>22886</v>
      </c>
    </row>
    <row r="666" spans="1:10" x14ac:dyDescent="0.2">
      <c r="A666" s="207">
        <v>1661</v>
      </c>
      <c r="B666" s="207" t="s">
        <v>104</v>
      </c>
      <c r="C666" s="207" t="s">
        <v>221</v>
      </c>
      <c r="D666" s="207" t="s">
        <v>518</v>
      </c>
      <c r="E666" s="281">
        <v>314470</v>
      </c>
      <c r="F666" s="281"/>
      <c r="G666" s="282">
        <v>33685</v>
      </c>
      <c r="H666" s="351" t="str">
        <f t="shared" si="34"/>
        <v>Ben Monksummers</v>
      </c>
      <c r="I666" s="353">
        <f t="shared" si="35"/>
        <v>1661</v>
      </c>
      <c r="J666" s="353">
        <f t="shared" si="36"/>
        <v>33685</v>
      </c>
    </row>
    <row r="667" spans="1:10" x14ac:dyDescent="0.2">
      <c r="A667" s="207">
        <v>1662</v>
      </c>
      <c r="B667" s="207" t="s">
        <v>129</v>
      </c>
      <c r="C667" s="207" t="s">
        <v>517</v>
      </c>
      <c r="D667" s="207" t="s">
        <v>715</v>
      </c>
      <c r="E667" s="281">
        <v>0</v>
      </c>
      <c r="F667" s="281"/>
      <c r="G667" s="282">
        <v>36483</v>
      </c>
      <c r="H667" s="351" t="str">
        <f t="shared" si="34"/>
        <v>Tom Kinder</v>
      </c>
      <c r="I667" s="353">
        <f t="shared" si="35"/>
        <v>1662</v>
      </c>
      <c r="J667" s="353">
        <f t="shared" si="36"/>
        <v>36483</v>
      </c>
    </row>
    <row r="668" spans="1:10" x14ac:dyDescent="0.2">
      <c r="A668" s="207">
        <v>1663</v>
      </c>
      <c r="B668" s="207" t="s">
        <v>205</v>
      </c>
      <c r="C668" s="207" t="s">
        <v>225</v>
      </c>
      <c r="D668" s="207" t="s">
        <v>647</v>
      </c>
      <c r="E668" s="281">
        <v>700127</v>
      </c>
      <c r="F668" s="281"/>
      <c r="G668" s="282"/>
      <c r="H668" s="351" t="str">
        <f t="shared" si="34"/>
        <v>Kevin Earl</v>
      </c>
      <c r="I668" s="353">
        <f t="shared" si="35"/>
        <v>1663</v>
      </c>
      <c r="J668" s="353">
        <f t="shared" si="36"/>
        <v>0</v>
      </c>
    </row>
    <row r="669" spans="1:10" x14ac:dyDescent="0.2">
      <c r="A669" s="207">
        <v>1664</v>
      </c>
      <c r="B669" s="207" t="s">
        <v>179</v>
      </c>
      <c r="C669" s="207" t="s">
        <v>761</v>
      </c>
      <c r="D669" s="207" t="s">
        <v>647</v>
      </c>
      <c r="E669" s="281">
        <v>0</v>
      </c>
      <c r="F669" s="281"/>
      <c r="G669" s="282">
        <v>36208</v>
      </c>
      <c r="H669" s="351" t="str">
        <f t="shared" si="34"/>
        <v>Jake Baker</v>
      </c>
      <c r="I669" s="353">
        <f t="shared" si="35"/>
        <v>1664</v>
      </c>
      <c r="J669" s="353">
        <f t="shared" si="36"/>
        <v>36208</v>
      </c>
    </row>
    <row r="670" spans="1:10" x14ac:dyDescent="0.2">
      <c r="A670" s="207">
        <v>1665</v>
      </c>
      <c r="B670" s="207" t="s">
        <v>173</v>
      </c>
      <c r="C670" s="207" t="s">
        <v>567</v>
      </c>
      <c r="D670" s="207" t="s">
        <v>647</v>
      </c>
      <c r="E670" s="281">
        <v>0</v>
      </c>
      <c r="F670" s="281" t="s">
        <v>35</v>
      </c>
      <c r="G670" s="282">
        <v>36504</v>
      </c>
      <c r="H670" s="351" t="str">
        <f t="shared" si="34"/>
        <v>Ella Boxall</v>
      </c>
      <c r="I670" s="353">
        <f t="shared" si="35"/>
        <v>1665</v>
      </c>
      <c r="J670" s="353">
        <f t="shared" si="36"/>
        <v>36504</v>
      </c>
    </row>
    <row r="671" spans="1:10" x14ac:dyDescent="0.2">
      <c r="A671" s="207">
        <v>1666</v>
      </c>
      <c r="B671" s="207" t="s">
        <v>648</v>
      </c>
      <c r="C671" s="207" t="s">
        <v>649</v>
      </c>
      <c r="D671" s="207" t="s">
        <v>647</v>
      </c>
      <c r="E671" s="281">
        <v>0</v>
      </c>
      <c r="F671" s="281" t="s">
        <v>35</v>
      </c>
      <c r="G671" s="282">
        <v>36811</v>
      </c>
      <c r="H671" s="351" t="str">
        <f t="shared" si="34"/>
        <v>Poli Sinclair</v>
      </c>
      <c r="I671" s="353">
        <f t="shared" si="35"/>
        <v>1666</v>
      </c>
      <c r="J671" s="353">
        <f t="shared" si="36"/>
        <v>36811</v>
      </c>
    </row>
    <row r="672" spans="1:10" x14ac:dyDescent="0.2">
      <c r="A672" s="207">
        <v>1667</v>
      </c>
      <c r="B672" s="207" t="s">
        <v>122</v>
      </c>
      <c r="C672" s="207" t="s">
        <v>508</v>
      </c>
      <c r="D672" s="207" t="s">
        <v>647</v>
      </c>
      <c r="E672" s="281">
        <v>0</v>
      </c>
      <c r="F672" s="281"/>
      <c r="G672" s="282">
        <v>37068</v>
      </c>
      <c r="H672" s="351" t="str">
        <f t="shared" si="34"/>
        <v>Henry Widnall</v>
      </c>
      <c r="I672" s="353">
        <f t="shared" si="35"/>
        <v>1667</v>
      </c>
      <c r="J672" s="353">
        <f t="shared" si="36"/>
        <v>37068</v>
      </c>
    </row>
    <row r="673" spans="1:10" x14ac:dyDescent="0.2">
      <c r="A673" s="207">
        <v>1668</v>
      </c>
      <c r="B673" s="207" t="s">
        <v>59</v>
      </c>
      <c r="C673" s="207" t="s">
        <v>650</v>
      </c>
      <c r="D673" s="207" t="s">
        <v>647</v>
      </c>
      <c r="E673" s="281">
        <v>0</v>
      </c>
      <c r="F673" s="281"/>
      <c r="G673" s="282">
        <v>37032</v>
      </c>
      <c r="H673" s="351" t="str">
        <f t="shared" si="34"/>
        <v>Andrew Clelland</v>
      </c>
      <c r="I673" s="353">
        <f t="shared" si="35"/>
        <v>1668</v>
      </c>
      <c r="J673" s="353">
        <f t="shared" si="36"/>
        <v>37032</v>
      </c>
    </row>
    <row r="674" spans="1:10" x14ac:dyDescent="0.2">
      <c r="A674" s="207">
        <v>1669</v>
      </c>
      <c r="B674" s="207" t="s">
        <v>931</v>
      </c>
      <c r="C674" s="207" t="s">
        <v>1343</v>
      </c>
      <c r="D674" s="207" t="s">
        <v>647</v>
      </c>
      <c r="E674" s="281">
        <v>0</v>
      </c>
      <c r="F674" s="281"/>
      <c r="G674" s="282">
        <v>36979</v>
      </c>
      <c r="H674" s="351" t="str">
        <f t="shared" si="34"/>
        <v>Jimmy Wharton</v>
      </c>
      <c r="I674" s="353">
        <f t="shared" si="35"/>
        <v>1669</v>
      </c>
      <c r="J674" s="353">
        <f t="shared" si="36"/>
        <v>36979</v>
      </c>
    </row>
    <row r="675" spans="1:10" x14ac:dyDescent="0.2">
      <c r="A675" s="207">
        <v>1670</v>
      </c>
      <c r="B675" s="207" t="s">
        <v>1344</v>
      </c>
      <c r="C675" s="207" t="s">
        <v>1345</v>
      </c>
      <c r="D675" s="207" t="s">
        <v>647</v>
      </c>
      <c r="E675" s="281">
        <v>0</v>
      </c>
      <c r="F675" s="281"/>
      <c r="G675" s="282">
        <v>38410</v>
      </c>
      <c r="H675" s="351" t="str">
        <f t="shared" si="34"/>
        <v>Dominik Machnowski</v>
      </c>
      <c r="I675" s="353">
        <f t="shared" si="35"/>
        <v>1670</v>
      </c>
      <c r="J675" s="353">
        <f t="shared" si="36"/>
        <v>38410</v>
      </c>
    </row>
    <row r="676" spans="1:10" x14ac:dyDescent="0.2">
      <c r="A676" s="207">
        <v>1671</v>
      </c>
      <c r="B676" s="207" t="s">
        <v>46</v>
      </c>
      <c r="C676" s="207" t="s">
        <v>762</v>
      </c>
      <c r="D676" s="207" t="s">
        <v>647</v>
      </c>
      <c r="E676" s="281">
        <v>0</v>
      </c>
      <c r="F676" s="281" t="s">
        <v>35</v>
      </c>
      <c r="G676" s="282">
        <v>38088</v>
      </c>
      <c r="H676" s="351" t="str">
        <f t="shared" si="34"/>
        <v>Alex Back</v>
      </c>
      <c r="I676" s="353">
        <f t="shared" si="35"/>
        <v>1671</v>
      </c>
      <c r="J676" s="353">
        <f t="shared" si="36"/>
        <v>38088</v>
      </c>
    </row>
    <row r="677" spans="1:10" x14ac:dyDescent="0.2">
      <c r="A677" s="207">
        <v>1672</v>
      </c>
      <c r="B677" s="207" t="s">
        <v>48</v>
      </c>
      <c r="C677" s="207" t="s">
        <v>927</v>
      </c>
      <c r="D677" s="207" t="s">
        <v>647</v>
      </c>
      <c r="E677" s="281"/>
      <c r="F677" s="281"/>
      <c r="G677" s="282">
        <v>38091</v>
      </c>
      <c r="H677" s="351" t="str">
        <f t="shared" si="34"/>
        <v>George Brand</v>
      </c>
      <c r="I677" s="353">
        <f t="shared" si="35"/>
        <v>1672</v>
      </c>
      <c r="J677" s="353">
        <f t="shared" si="36"/>
        <v>38091</v>
      </c>
    </row>
    <row r="678" spans="1:10" x14ac:dyDescent="0.2">
      <c r="A678" s="207">
        <v>1673</v>
      </c>
      <c r="B678" s="207" t="s">
        <v>930</v>
      </c>
      <c r="C678" s="207" t="s">
        <v>650</v>
      </c>
      <c r="D678" s="207" t="s">
        <v>647</v>
      </c>
      <c r="E678" s="281">
        <v>0</v>
      </c>
      <c r="F678" s="281" t="s">
        <v>35</v>
      </c>
      <c r="G678" s="282">
        <v>38457</v>
      </c>
      <c r="H678" s="351" t="str">
        <f t="shared" si="34"/>
        <v>Adriana Clelland</v>
      </c>
      <c r="I678" s="353">
        <f t="shared" si="35"/>
        <v>1673</v>
      </c>
      <c r="J678" s="353">
        <f t="shared" si="36"/>
        <v>38457</v>
      </c>
    </row>
    <row r="679" spans="1:10" x14ac:dyDescent="0.2">
      <c r="A679" s="207">
        <v>1674</v>
      </c>
      <c r="B679" s="207" t="s">
        <v>197</v>
      </c>
      <c r="C679" s="207" t="s">
        <v>481</v>
      </c>
      <c r="D679" s="207" t="s">
        <v>647</v>
      </c>
      <c r="E679" s="281">
        <v>0</v>
      </c>
      <c r="F679" s="281"/>
      <c r="G679" s="282">
        <v>38476</v>
      </c>
      <c r="H679" s="351" t="str">
        <f t="shared" si="34"/>
        <v>Alexander Robbins</v>
      </c>
      <c r="I679" s="353">
        <f t="shared" si="35"/>
        <v>1674</v>
      </c>
      <c r="J679" s="353">
        <f t="shared" si="36"/>
        <v>38476</v>
      </c>
    </row>
    <row r="680" spans="1:10" x14ac:dyDescent="0.2">
      <c r="A680" s="207">
        <v>1675</v>
      </c>
      <c r="B680" s="207" t="s">
        <v>850</v>
      </c>
      <c r="C680" s="207" t="s">
        <v>1346</v>
      </c>
      <c r="D680" s="207" t="s">
        <v>647</v>
      </c>
      <c r="E680" s="281">
        <v>0</v>
      </c>
      <c r="F680" s="281"/>
      <c r="G680" s="282">
        <v>38442</v>
      </c>
      <c r="H680" s="351" t="str">
        <f t="shared" si="34"/>
        <v>Sampson Dyer</v>
      </c>
      <c r="I680" s="353">
        <f t="shared" si="35"/>
        <v>1675</v>
      </c>
      <c r="J680" s="353">
        <f t="shared" si="36"/>
        <v>38442</v>
      </c>
    </row>
    <row r="681" spans="1:10" x14ac:dyDescent="0.2">
      <c r="A681" s="207">
        <v>1676</v>
      </c>
      <c r="B681" s="207" t="s">
        <v>104</v>
      </c>
      <c r="C681" s="207" t="s">
        <v>70</v>
      </c>
      <c r="D681" s="207" t="s">
        <v>647</v>
      </c>
      <c r="E681" s="281">
        <v>0</v>
      </c>
      <c r="F681" s="281"/>
      <c r="G681" s="282">
        <v>38011</v>
      </c>
      <c r="H681" s="351" t="str">
        <f t="shared" si="34"/>
        <v>Ben Smith</v>
      </c>
      <c r="I681" s="353">
        <f t="shared" si="35"/>
        <v>1676</v>
      </c>
      <c r="J681" s="353">
        <f t="shared" si="36"/>
        <v>38011</v>
      </c>
    </row>
    <row r="682" spans="1:10" x14ac:dyDescent="0.2">
      <c r="A682" s="207">
        <v>1677</v>
      </c>
      <c r="B682" s="207" t="s">
        <v>747</v>
      </c>
      <c r="C682" s="207" t="s">
        <v>928</v>
      </c>
      <c r="D682" s="207" t="s">
        <v>647</v>
      </c>
      <c r="E682" s="281">
        <v>0</v>
      </c>
      <c r="F682" s="281"/>
      <c r="G682" s="282">
        <v>38239</v>
      </c>
      <c r="H682" s="351" t="str">
        <f t="shared" si="34"/>
        <v>Harris Oldroyd</v>
      </c>
      <c r="I682" s="353">
        <f t="shared" si="35"/>
        <v>1677</v>
      </c>
      <c r="J682" s="353">
        <f t="shared" si="36"/>
        <v>38239</v>
      </c>
    </row>
    <row r="683" spans="1:10" x14ac:dyDescent="0.2">
      <c r="A683" s="207">
        <v>1678</v>
      </c>
      <c r="B683" s="207" t="s">
        <v>84</v>
      </c>
      <c r="C683" s="207" t="s">
        <v>695</v>
      </c>
      <c r="D683" s="207" t="s">
        <v>647</v>
      </c>
      <c r="E683" s="281">
        <v>0</v>
      </c>
      <c r="F683" s="281"/>
      <c r="G683" s="282">
        <v>38349</v>
      </c>
      <c r="H683" s="351" t="str">
        <f t="shared" si="34"/>
        <v>Sam Lawrence</v>
      </c>
      <c r="I683" s="353">
        <f t="shared" si="35"/>
        <v>1678</v>
      </c>
      <c r="J683" s="353">
        <f t="shared" si="36"/>
        <v>38349</v>
      </c>
    </row>
    <row r="684" spans="1:10" x14ac:dyDescent="0.2">
      <c r="A684" s="207">
        <v>1679</v>
      </c>
      <c r="B684" s="207" t="s">
        <v>1347</v>
      </c>
      <c r="C684" s="207" t="s">
        <v>672</v>
      </c>
      <c r="D684" s="207" t="s">
        <v>800</v>
      </c>
      <c r="E684" s="281">
        <v>0</v>
      </c>
      <c r="F684" s="281"/>
      <c r="G684" s="282">
        <v>36879</v>
      </c>
      <c r="H684" s="351" t="str">
        <f t="shared" si="34"/>
        <v>Tim Read</v>
      </c>
      <c r="I684" s="353">
        <f t="shared" si="35"/>
        <v>1679</v>
      </c>
      <c r="J684" s="353">
        <f t="shared" si="36"/>
        <v>36879</v>
      </c>
    </row>
    <row r="685" spans="1:10" x14ac:dyDescent="0.2">
      <c r="A685" s="207">
        <v>1680</v>
      </c>
      <c r="B685" s="207" t="s">
        <v>50</v>
      </c>
      <c r="C685" s="207" t="s">
        <v>232</v>
      </c>
      <c r="D685" s="207" t="s">
        <v>800</v>
      </c>
      <c r="E685" s="281">
        <v>0</v>
      </c>
      <c r="F685" s="281"/>
      <c r="G685" s="282">
        <v>36584</v>
      </c>
      <c r="H685" s="351" t="str">
        <f t="shared" si="34"/>
        <v>Scott Crabbe</v>
      </c>
      <c r="I685" s="353">
        <f t="shared" si="35"/>
        <v>1680</v>
      </c>
      <c r="J685" s="353">
        <f t="shared" si="36"/>
        <v>36584</v>
      </c>
    </row>
    <row r="686" spans="1:10" x14ac:dyDescent="0.2">
      <c r="A686" s="207">
        <v>1681</v>
      </c>
      <c r="B686" s="207" t="s">
        <v>49</v>
      </c>
      <c r="C686" s="207" t="s">
        <v>149</v>
      </c>
      <c r="D686" s="207" t="s">
        <v>800</v>
      </c>
      <c r="E686" s="281">
        <v>0</v>
      </c>
      <c r="F686" s="281"/>
      <c r="G686" s="282">
        <v>36625</v>
      </c>
      <c r="H686" s="351" t="str">
        <f t="shared" si="34"/>
        <v>James Newman</v>
      </c>
      <c r="I686" s="353">
        <f t="shared" si="35"/>
        <v>1681</v>
      </c>
      <c r="J686" s="353">
        <f t="shared" si="36"/>
        <v>36625</v>
      </c>
    </row>
    <row r="687" spans="1:10" x14ac:dyDescent="0.2">
      <c r="A687" s="207">
        <v>1682</v>
      </c>
      <c r="B687" s="207" t="s">
        <v>99</v>
      </c>
      <c r="C687" s="207" t="s">
        <v>473</v>
      </c>
      <c r="D687" s="207" t="s">
        <v>658</v>
      </c>
      <c r="E687" s="281">
        <v>0</v>
      </c>
      <c r="F687" s="281"/>
      <c r="G687" s="282">
        <v>36543</v>
      </c>
      <c r="H687" s="351" t="str">
        <f t="shared" si="34"/>
        <v>Oliver Bowler</v>
      </c>
      <c r="I687" s="353">
        <f t="shared" si="35"/>
        <v>1682</v>
      </c>
      <c r="J687" s="353">
        <f t="shared" si="36"/>
        <v>36543</v>
      </c>
    </row>
    <row r="688" spans="1:10" x14ac:dyDescent="0.2">
      <c r="A688" s="207">
        <v>1683</v>
      </c>
      <c r="B688" s="207" t="s">
        <v>61</v>
      </c>
      <c r="C688" s="207" t="s">
        <v>209</v>
      </c>
      <c r="D688" s="207" t="s">
        <v>658</v>
      </c>
      <c r="E688" s="281">
        <v>0</v>
      </c>
      <c r="F688" s="281"/>
      <c r="G688" s="282">
        <v>36545</v>
      </c>
      <c r="H688" s="351" t="str">
        <f t="shared" si="34"/>
        <v>Jonathan Sainsbury</v>
      </c>
      <c r="I688" s="353">
        <f t="shared" si="35"/>
        <v>1683</v>
      </c>
      <c r="J688" s="353">
        <f t="shared" si="36"/>
        <v>36545</v>
      </c>
    </row>
    <row r="689" spans="1:10" x14ac:dyDescent="0.2">
      <c r="A689" s="207">
        <v>1684</v>
      </c>
      <c r="B689" s="207" t="s">
        <v>147</v>
      </c>
      <c r="C689" s="207" t="s">
        <v>568</v>
      </c>
      <c r="D689" s="207" t="s">
        <v>658</v>
      </c>
      <c r="E689" s="281">
        <v>0</v>
      </c>
      <c r="F689" s="281"/>
      <c r="G689" s="282">
        <v>36354</v>
      </c>
      <c r="H689" s="351" t="str">
        <f t="shared" si="34"/>
        <v>Will Comber</v>
      </c>
      <c r="I689" s="353">
        <f t="shared" si="35"/>
        <v>1684</v>
      </c>
      <c r="J689" s="353">
        <f t="shared" si="36"/>
        <v>36354</v>
      </c>
    </row>
    <row r="690" spans="1:10" x14ac:dyDescent="0.2">
      <c r="A690" s="207">
        <v>1685</v>
      </c>
      <c r="B690" s="207" t="s">
        <v>475</v>
      </c>
      <c r="C690" s="207" t="s">
        <v>476</v>
      </c>
      <c r="D690" s="207" t="s">
        <v>658</v>
      </c>
      <c r="E690" s="281">
        <v>0</v>
      </c>
      <c r="F690" s="281"/>
      <c r="G690" s="282">
        <v>36171</v>
      </c>
      <c r="H690" s="351" t="str">
        <f t="shared" si="34"/>
        <v>Oscar Peterson</v>
      </c>
      <c r="I690" s="353">
        <f t="shared" si="35"/>
        <v>1685</v>
      </c>
      <c r="J690" s="353">
        <f t="shared" si="36"/>
        <v>36171</v>
      </c>
    </row>
    <row r="691" spans="1:10" x14ac:dyDescent="0.2">
      <c r="A691" s="207">
        <v>1686</v>
      </c>
      <c r="B691" s="207" t="s">
        <v>50</v>
      </c>
      <c r="C691" s="207" t="s">
        <v>799</v>
      </c>
      <c r="D691" s="207" t="s">
        <v>658</v>
      </c>
      <c r="E691" s="281">
        <v>0</v>
      </c>
      <c r="F691" s="281"/>
      <c r="G691" s="282">
        <v>36981</v>
      </c>
      <c r="H691" s="351" t="str">
        <f t="shared" si="34"/>
        <v>Scott Theobald</v>
      </c>
      <c r="I691" s="353">
        <f t="shared" si="35"/>
        <v>1686</v>
      </c>
      <c r="J691" s="353">
        <f t="shared" si="36"/>
        <v>36981</v>
      </c>
    </row>
    <row r="692" spans="1:10" x14ac:dyDescent="0.2">
      <c r="A692" s="207">
        <v>1687</v>
      </c>
      <c r="B692" s="207" t="s">
        <v>219</v>
      </c>
      <c r="C692" s="207" t="s">
        <v>1348</v>
      </c>
      <c r="D692" s="207" t="s">
        <v>658</v>
      </c>
      <c r="E692" s="281">
        <v>0</v>
      </c>
      <c r="F692" s="281"/>
      <c r="G692" s="282">
        <v>38107</v>
      </c>
      <c r="H692" s="351" t="str">
        <f t="shared" si="34"/>
        <v>Ollie Gunner</v>
      </c>
      <c r="I692" s="353">
        <f t="shared" si="35"/>
        <v>1687</v>
      </c>
      <c r="J692" s="353">
        <f t="shared" si="36"/>
        <v>38107</v>
      </c>
    </row>
    <row r="693" spans="1:10" x14ac:dyDescent="0.2">
      <c r="A693" s="207">
        <v>1688</v>
      </c>
      <c r="B693" s="207" t="s">
        <v>104</v>
      </c>
      <c r="C693" s="207" t="s">
        <v>1349</v>
      </c>
      <c r="D693" s="207" t="s">
        <v>658</v>
      </c>
      <c r="E693" s="281">
        <v>0</v>
      </c>
      <c r="F693" s="281"/>
      <c r="G693" s="282">
        <v>36579</v>
      </c>
      <c r="H693" s="351" t="str">
        <f t="shared" si="34"/>
        <v>Ben Sear</v>
      </c>
      <c r="I693" s="353">
        <f t="shared" si="35"/>
        <v>1688</v>
      </c>
      <c r="J693" s="353">
        <f t="shared" si="36"/>
        <v>36579</v>
      </c>
    </row>
    <row r="694" spans="1:10" x14ac:dyDescent="0.2">
      <c r="A694" s="207">
        <v>1689</v>
      </c>
      <c r="B694" s="207" t="s">
        <v>49</v>
      </c>
      <c r="C694" s="207" t="s">
        <v>989</v>
      </c>
      <c r="D694" s="207" t="s">
        <v>658</v>
      </c>
      <c r="E694" s="281">
        <v>0</v>
      </c>
      <c r="F694" s="281"/>
      <c r="G694" s="282">
        <v>37734</v>
      </c>
      <c r="H694" s="351" t="str">
        <f t="shared" si="34"/>
        <v>James Furlong</v>
      </c>
      <c r="I694" s="353">
        <f t="shared" si="35"/>
        <v>1689</v>
      </c>
      <c r="J694" s="353">
        <f t="shared" si="36"/>
        <v>37734</v>
      </c>
    </row>
    <row r="695" spans="1:10" x14ac:dyDescent="0.2">
      <c r="A695" s="207">
        <v>1690</v>
      </c>
      <c r="B695" s="207" t="s">
        <v>46</v>
      </c>
      <c r="C695" s="207" t="s">
        <v>990</v>
      </c>
      <c r="D695" s="207" t="s">
        <v>658</v>
      </c>
      <c r="E695" s="281">
        <v>0</v>
      </c>
      <c r="F695" s="281"/>
      <c r="G695" s="282">
        <v>37772</v>
      </c>
      <c r="H695" s="351" t="str">
        <f t="shared" si="34"/>
        <v>Alex Keens</v>
      </c>
      <c r="I695" s="353">
        <f t="shared" si="35"/>
        <v>1690</v>
      </c>
      <c r="J695" s="353">
        <f t="shared" si="36"/>
        <v>37772</v>
      </c>
    </row>
    <row r="696" spans="1:10" x14ac:dyDescent="0.2">
      <c r="A696" s="207">
        <v>1691</v>
      </c>
      <c r="B696" s="207" t="s">
        <v>75</v>
      </c>
      <c r="C696" s="207" t="s">
        <v>696</v>
      </c>
      <c r="D696" s="207" t="s">
        <v>658</v>
      </c>
      <c r="E696" s="281">
        <v>0</v>
      </c>
      <c r="F696" s="281"/>
      <c r="G696" s="282">
        <v>36395</v>
      </c>
      <c r="H696" s="351" t="str">
        <f t="shared" si="34"/>
        <v>Luke Evans</v>
      </c>
      <c r="I696" s="353">
        <f t="shared" si="35"/>
        <v>1691</v>
      </c>
      <c r="J696" s="353">
        <f t="shared" si="36"/>
        <v>36395</v>
      </c>
    </row>
    <row r="697" spans="1:10" x14ac:dyDescent="0.2">
      <c r="A697" s="207">
        <v>1692</v>
      </c>
      <c r="B697" s="207" t="s">
        <v>69</v>
      </c>
      <c r="C697" s="207" t="s">
        <v>209</v>
      </c>
      <c r="D697" s="207" t="s">
        <v>658</v>
      </c>
      <c r="E697" s="281">
        <v>138651</v>
      </c>
      <c r="F697" s="281"/>
      <c r="G697" s="282"/>
      <c r="H697" s="351" t="str">
        <f t="shared" si="34"/>
        <v>David Sainsbury</v>
      </c>
      <c r="I697" s="353">
        <f t="shared" si="35"/>
        <v>1692</v>
      </c>
      <c r="J697" s="353">
        <f t="shared" si="36"/>
        <v>0</v>
      </c>
    </row>
    <row r="698" spans="1:10" x14ac:dyDescent="0.2">
      <c r="A698" s="207">
        <v>1693</v>
      </c>
      <c r="B698" s="207" t="s">
        <v>226</v>
      </c>
      <c r="C698" s="207" t="s">
        <v>1350</v>
      </c>
      <c r="D698" s="207" t="s">
        <v>658</v>
      </c>
      <c r="E698" s="281"/>
      <c r="F698" s="281"/>
      <c r="G698" s="282">
        <v>37856</v>
      </c>
      <c r="H698" s="351" t="str">
        <f t="shared" si="34"/>
        <v>Lucy Fewings</v>
      </c>
      <c r="I698" s="353">
        <f t="shared" si="35"/>
        <v>1693</v>
      </c>
      <c r="J698" s="353">
        <f t="shared" si="36"/>
        <v>37856</v>
      </c>
    </row>
    <row r="699" spans="1:10" x14ac:dyDescent="0.2">
      <c r="A699" s="207">
        <v>1694</v>
      </c>
      <c r="B699" s="207" t="s">
        <v>1351</v>
      </c>
      <c r="C699" s="207" t="s">
        <v>1348</v>
      </c>
      <c r="D699" s="207" t="s">
        <v>658</v>
      </c>
      <c r="E699" s="281"/>
      <c r="F699" s="281"/>
      <c r="G699" s="282">
        <v>37051</v>
      </c>
      <c r="H699" s="351" t="str">
        <f t="shared" si="34"/>
        <v>Tommy Gunner</v>
      </c>
      <c r="I699" s="353">
        <f t="shared" si="35"/>
        <v>1694</v>
      </c>
      <c r="J699" s="353">
        <f t="shared" si="36"/>
        <v>37051</v>
      </c>
    </row>
    <row r="700" spans="1:10" x14ac:dyDescent="0.2">
      <c r="A700" s="207">
        <v>1695</v>
      </c>
      <c r="B700" s="207" t="s">
        <v>1352</v>
      </c>
      <c r="C700" s="207" t="s">
        <v>1353</v>
      </c>
      <c r="D700" s="207" t="s">
        <v>1354</v>
      </c>
      <c r="E700" s="281">
        <v>0</v>
      </c>
      <c r="F700" s="281" t="s">
        <v>35</v>
      </c>
      <c r="G700" s="282">
        <v>38717</v>
      </c>
      <c r="H700" s="351" t="str">
        <f t="shared" si="34"/>
        <v>Madison North</v>
      </c>
      <c r="I700" s="353">
        <f t="shared" si="35"/>
        <v>1695</v>
      </c>
      <c r="J700" s="353">
        <f t="shared" si="36"/>
        <v>38717</v>
      </c>
    </row>
    <row r="701" spans="1:10" x14ac:dyDescent="0.2">
      <c r="A701" s="207">
        <v>1696</v>
      </c>
      <c r="B701" s="207" t="s">
        <v>85</v>
      </c>
      <c r="C701" s="207" t="s">
        <v>1355</v>
      </c>
      <c r="D701" s="207" t="s">
        <v>1354</v>
      </c>
      <c r="E701" s="281">
        <v>0</v>
      </c>
      <c r="F701" s="281"/>
      <c r="G701" s="282">
        <v>38740</v>
      </c>
      <c r="H701" s="351" t="str">
        <f t="shared" si="34"/>
        <v>Max Whatley</v>
      </c>
      <c r="I701" s="353">
        <f t="shared" si="35"/>
        <v>1696</v>
      </c>
      <c r="J701" s="353">
        <f t="shared" si="36"/>
        <v>38740</v>
      </c>
    </row>
    <row r="702" spans="1:10" x14ac:dyDescent="0.2">
      <c r="A702" s="207">
        <v>1697</v>
      </c>
      <c r="B702" s="207" t="s">
        <v>99</v>
      </c>
      <c r="C702" s="207" t="s">
        <v>136</v>
      </c>
      <c r="D702" s="207" t="s">
        <v>1354</v>
      </c>
      <c r="E702" s="281">
        <v>0</v>
      </c>
      <c r="F702" s="281"/>
      <c r="G702" s="282">
        <v>38635</v>
      </c>
      <c r="H702" s="351" t="str">
        <f t="shared" si="34"/>
        <v>Oliver Shaw</v>
      </c>
      <c r="I702" s="353">
        <f t="shared" si="35"/>
        <v>1697</v>
      </c>
      <c r="J702" s="353">
        <f t="shared" si="36"/>
        <v>38635</v>
      </c>
    </row>
    <row r="703" spans="1:10" x14ac:dyDescent="0.2">
      <c r="A703" s="207">
        <v>1698</v>
      </c>
      <c r="B703" s="207" t="s">
        <v>89</v>
      </c>
      <c r="C703" s="207" t="s">
        <v>1356</v>
      </c>
      <c r="D703" s="207" t="s">
        <v>1354</v>
      </c>
      <c r="E703" s="281">
        <v>0</v>
      </c>
      <c r="F703" s="281"/>
      <c r="G703" s="282">
        <v>38741</v>
      </c>
      <c r="H703" s="351" t="str">
        <f t="shared" si="34"/>
        <v>Joe Finney</v>
      </c>
      <c r="I703" s="353">
        <f t="shared" si="35"/>
        <v>1698</v>
      </c>
      <c r="J703" s="353">
        <f t="shared" si="36"/>
        <v>38741</v>
      </c>
    </row>
    <row r="704" spans="1:10" x14ac:dyDescent="0.2">
      <c r="A704" s="207">
        <v>1699</v>
      </c>
      <c r="B704" s="207" t="s">
        <v>985</v>
      </c>
      <c r="C704" s="207" t="s">
        <v>1357</v>
      </c>
      <c r="D704" s="207" t="s">
        <v>1354</v>
      </c>
      <c r="E704" s="281">
        <v>0</v>
      </c>
      <c r="F704" s="281" t="s">
        <v>35</v>
      </c>
      <c r="G704" s="282">
        <v>38712</v>
      </c>
      <c r="H704" s="351" t="str">
        <f t="shared" si="34"/>
        <v>Elena Simpson</v>
      </c>
      <c r="I704" s="353">
        <f t="shared" si="35"/>
        <v>1699</v>
      </c>
      <c r="J704" s="353">
        <f t="shared" si="36"/>
        <v>38712</v>
      </c>
    </row>
    <row r="705" spans="1:10" x14ac:dyDescent="0.2">
      <c r="A705" s="207">
        <v>1700</v>
      </c>
      <c r="B705" s="207" t="s">
        <v>710</v>
      </c>
      <c r="C705" s="207" t="s">
        <v>1358</v>
      </c>
      <c r="D705" s="207" t="s">
        <v>1354</v>
      </c>
      <c r="E705" s="281">
        <v>0</v>
      </c>
      <c r="F705" s="281"/>
      <c r="G705" s="282">
        <v>38251</v>
      </c>
      <c r="H705" s="351" t="str">
        <f t="shared" si="34"/>
        <v>Jordan Giannasi</v>
      </c>
      <c r="I705" s="353">
        <f t="shared" si="35"/>
        <v>1700</v>
      </c>
      <c r="J705" s="353">
        <f t="shared" si="36"/>
        <v>38251</v>
      </c>
    </row>
    <row r="706" spans="1:10" x14ac:dyDescent="0.2">
      <c r="A706" s="207">
        <v>1701</v>
      </c>
      <c r="B706" s="207" t="s">
        <v>119</v>
      </c>
      <c r="C706" s="207" t="s">
        <v>1359</v>
      </c>
      <c r="D706" s="207" t="s">
        <v>1354</v>
      </c>
      <c r="E706" s="281">
        <v>0</v>
      </c>
      <c r="F706" s="281"/>
      <c r="G706" s="282">
        <v>38069</v>
      </c>
      <c r="H706" s="351" t="str">
        <f t="shared" si="34"/>
        <v>William Engall</v>
      </c>
      <c r="I706" s="353">
        <f t="shared" si="35"/>
        <v>1701</v>
      </c>
      <c r="J706" s="353">
        <f t="shared" si="36"/>
        <v>38069</v>
      </c>
    </row>
    <row r="707" spans="1:10" x14ac:dyDescent="0.2">
      <c r="A707" s="207">
        <v>1702</v>
      </c>
      <c r="B707" s="207" t="s">
        <v>1360</v>
      </c>
      <c r="C707" s="207" t="s">
        <v>748</v>
      </c>
      <c r="D707" s="207" t="s">
        <v>1354</v>
      </c>
      <c r="E707" s="281">
        <v>0</v>
      </c>
      <c r="F707" s="281"/>
      <c r="G707" s="282">
        <v>38609</v>
      </c>
      <c r="H707" s="351" t="str">
        <f t="shared" si="34"/>
        <v>Leon Wilson</v>
      </c>
      <c r="I707" s="353">
        <f t="shared" si="35"/>
        <v>1702</v>
      </c>
      <c r="J707" s="353">
        <f t="shared" si="36"/>
        <v>38609</v>
      </c>
    </row>
    <row r="708" spans="1:10" x14ac:dyDescent="0.2">
      <c r="A708" s="207">
        <v>1703</v>
      </c>
      <c r="B708" s="207" t="s">
        <v>85</v>
      </c>
      <c r="C708" s="207" t="s">
        <v>1361</v>
      </c>
      <c r="D708" s="207" t="s">
        <v>1354</v>
      </c>
      <c r="E708" s="281">
        <v>0</v>
      </c>
      <c r="F708" s="281"/>
      <c r="G708" s="282">
        <v>38483</v>
      </c>
      <c r="H708" s="351" t="str">
        <f t="shared" si="34"/>
        <v>Max Holyoak</v>
      </c>
      <c r="I708" s="353">
        <f t="shared" si="35"/>
        <v>1703</v>
      </c>
      <c r="J708" s="353">
        <f t="shared" si="36"/>
        <v>38483</v>
      </c>
    </row>
    <row r="709" spans="1:10" x14ac:dyDescent="0.2">
      <c r="A709" s="207">
        <v>1704</v>
      </c>
      <c r="B709" s="207" t="s">
        <v>641</v>
      </c>
      <c r="C709" s="207" t="s">
        <v>1362</v>
      </c>
      <c r="D709" s="207" t="s">
        <v>1354</v>
      </c>
      <c r="E709" s="281">
        <v>565169</v>
      </c>
      <c r="F709" s="281" t="s">
        <v>35</v>
      </c>
      <c r="G709" s="282">
        <v>22350</v>
      </c>
      <c r="H709" s="351" t="str">
        <f t="shared" si="34"/>
        <v>Joyce Chick</v>
      </c>
      <c r="I709" s="353">
        <f t="shared" si="35"/>
        <v>1704</v>
      </c>
      <c r="J709" s="353">
        <f t="shared" si="36"/>
        <v>22350</v>
      </c>
    </row>
    <row r="710" spans="1:10" x14ac:dyDescent="0.2">
      <c r="A710" s="207">
        <v>1705</v>
      </c>
      <c r="B710" s="207" t="s">
        <v>110</v>
      </c>
      <c r="C710" s="207" t="s">
        <v>1363</v>
      </c>
      <c r="D710" s="207" t="s">
        <v>1354</v>
      </c>
      <c r="E710" s="281">
        <v>65209</v>
      </c>
      <c r="F710" s="281"/>
      <c r="G710" s="282">
        <v>16215</v>
      </c>
      <c r="H710" s="351" t="str">
        <f t="shared" si="34"/>
        <v>Peter Fancote</v>
      </c>
      <c r="I710" s="353">
        <f t="shared" si="35"/>
        <v>1705</v>
      </c>
      <c r="J710" s="353">
        <f t="shared" si="36"/>
        <v>16215</v>
      </c>
    </row>
    <row r="711" spans="1:10" x14ac:dyDescent="0.2">
      <c r="A711" s="207">
        <v>1706</v>
      </c>
      <c r="B711" s="207" t="s">
        <v>174</v>
      </c>
      <c r="C711" s="207" t="s">
        <v>65</v>
      </c>
      <c r="D711" s="207" t="s">
        <v>1354</v>
      </c>
      <c r="E711" s="281">
        <v>28975</v>
      </c>
      <c r="F711" s="281"/>
      <c r="G711" s="282">
        <v>21016</v>
      </c>
      <c r="H711" s="351" t="str">
        <f t="shared" si="34"/>
        <v>Nick Daniel</v>
      </c>
      <c r="I711" s="353">
        <f t="shared" si="35"/>
        <v>1706</v>
      </c>
      <c r="J711" s="353">
        <f t="shared" si="36"/>
        <v>21016</v>
      </c>
    </row>
    <row r="712" spans="1:10" x14ac:dyDescent="0.2">
      <c r="A712" s="207">
        <v>1707</v>
      </c>
      <c r="B712" s="207" t="s">
        <v>106</v>
      </c>
      <c r="C712" s="207" t="s">
        <v>153</v>
      </c>
      <c r="D712" s="207" t="s">
        <v>1354</v>
      </c>
      <c r="E712" s="281">
        <v>0</v>
      </c>
      <c r="F712" s="281"/>
      <c r="G712" s="282">
        <v>38346</v>
      </c>
      <c r="H712" s="351" t="str">
        <f t="shared" si="34"/>
        <v>Harry Adams</v>
      </c>
      <c r="I712" s="353">
        <f t="shared" si="35"/>
        <v>1707</v>
      </c>
      <c r="J712" s="353">
        <f t="shared" si="36"/>
        <v>38346</v>
      </c>
    </row>
    <row r="713" spans="1:10" x14ac:dyDescent="0.2">
      <c r="A713" s="207">
        <v>1708</v>
      </c>
      <c r="B713" s="207" t="s">
        <v>93</v>
      </c>
      <c r="C713" s="207" t="s">
        <v>1364</v>
      </c>
      <c r="D713" s="207" t="s">
        <v>1365</v>
      </c>
      <c r="E713" s="281">
        <v>0</v>
      </c>
      <c r="F713" s="281"/>
      <c r="G713" s="282">
        <v>37647</v>
      </c>
      <c r="H713" s="351" t="str">
        <f t="shared" ref="H713:H776" si="37">CONCATENATE(B713," ",C713)</f>
        <v>Josh Gillentine</v>
      </c>
      <c r="I713" s="353">
        <f t="shared" ref="I713:I776" si="38">A713</f>
        <v>1708</v>
      </c>
      <c r="J713" s="353">
        <f t="shared" ref="J713:J776" si="39">G713</f>
        <v>37647</v>
      </c>
    </row>
    <row r="714" spans="1:10" x14ac:dyDescent="0.2">
      <c r="A714" s="207">
        <v>1709</v>
      </c>
      <c r="B714" s="207" t="s">
        <v>181</v>
      </c>
      <c r="C714" s="207" t="s">
        <v>895</v>
      </c>
      <c r="D714" s="207" t="s">
        <v>896</v>
      </c>
      <c r="E714" s="281">
        <v>641418</v>
      </c>
      <c r="F714" s="281"/>
      <c r="G714" s="282">
        <v>24573</v>
      </c>
      <c r="H714" s="351" t="str">
        <f t="shared" si="37"/>
        <v>Jon Culshaw</v>
      </c>
      <c r="I714" s="353">
        <f t="shared" si="38"/>
        <v>1709</v>
      </c>
      <c r="J714" s="353">
        <f t="shared" si="39"/>
        <v>24573</v>
      </c>
    </row>
    <row r="715" spans="1:10" x14ac:dyDescent="0.2">
      <c r="A715" s="207">
        <v>1710</v>
      </c>
      <c r="B715" s="207" t="s">
        <v>1366</v>
      </c>
      <c r="C715" s="207" t="s">
        <v>895</v>
      </c>
      <c r="D715" s="207" t="s">
        <v>896</v>
      </c>
      <c r="E715" s="281">
        <v>0</v>
      </c>
      <c r="F715" s="281"/>
      <c r="G715" s="282">
        <v>36825</v>
      </c>
      <c r="H715" s="351" t="str">
        <f t="shared" si="37"/>
        <v>Jj Culshaw</v>
      </c>
      <c r="I715" s="353">
        <f t="shared" si="38"/>
        <v>1710</v>
      </c>
      <c r="J715" s="353">
        <f t="shared" si="39"/>
        <v>36825</v>
      </c>
    </row>
    <row r="716" spans="1:10" x14ac:dyDescent="0.2">
      <c r="A716" s="207">
        <v>1711</v>
      </c>
      <c r="B716" s="207" t="s">
        <v>785</v>
      </c>
      <c r="C716" s="207" t="s">
        <v>895</v>
      </c>
      <c r="D716" s="207" t="s">
        <v>896</v>
      </c>
      <c r="E716" s="281">
        <v>0</v>
      </c>
      <c r="F716" s="281" t="s">
        <v>35</v>
      </c>
      <c r="G716" s="282">
        <v>38081</v>
      </c>
      <c r="H716" s="351" t="str">
        <f t="shared" si="37"/>
        <v>Jenna Culshaw</v>
      </c>
      <c r="I716" s="353">
        <f t="shared" si="38"/>
        <v>1711</v>
      </c>
      <c r="J716" s="353">
        <f t="shared" si="39"/>
        <v>38081</v>
      </c>
    </row>
    <row r="717" spans="1:10" x14ac:dyDescent="0.2">
      <c r="A717" s="207">
        <v>1712</v>
      </c>
      <c r="B717" s="207" t="s">
        <v>67</v>
      </c>
      <c r="C717" s="207" t="s">
        <v>1367</v>
      </c>
      <c r="D717" s="207" t="s">
        <v>896</v>
      </c>
      <c r="E717" s="281">
        <v>0</v>
      </c>
      <c r="F717" s="281"/>
      <c r="G717" s="282">
        <v>36719</v>
      </c>
      <c r="H717" s="351" t="str">
        <f t="shared" si="37"/>
        <v>Edward Philips</v>
      </c>
      <c r="I717" s="353">
        <f t="shared" si="38"/>
        <v>1712</v>
      </c>
      <c r="J717" s="353">
        <f t="shared" si="39"/>
        <v>36719</v>
      </c>
    </row>
    <row r="718" spans="1:10" x14ac:dyDescent="0.2">
      <c r="A718" s="207">
        <v>1713</v>
      </c>
      <c r="B718" s="207" t="s">
        <v>1368</v>
      </c>
      <c r="C718" s="207" t="s">
        <v>1369</v>
      </c>
      <c r="D718" s="207" t="s">
        <v>1137</v>
      </c>
      <c r="E718" s="281">
        <v>0</v>
      </c>
      <c r="F718" s="281" t="s">
        <v>35</v>
      </c>
      <c r="G718" s="282">
        <v>37074</v>
      </c>
      <c r="H718" s="351" t="str">
        <f t="shared" si="37"/>
        <v>Courtney Palmer-Jones</v>
      </c>
      <c r="I718" s="353">
        <f t="shared" si="38"/>
        <v>1713</v>
      </c>
      <c r="J718" s="353">
        <f t="shared" si="39"/>
        <v>37074</v>
      </c>
    </row>
    <row r="719" spans="1:10" x14ac:dyDescent="0.2">
      <c r="A719" s="207">
        <v>1714</v>
      </c>
      <c r="B719" s="207" t="s">
        <v>58</v>
      </c>
      <c r="C719" s="207" t="s">
        <v>128</v>
      </c>
      <c r="D719" s="207" t="s">
        <v>127</v>
      </c>
      <c r="E719" s="281">
        <v>69809</v>
      </c>
      <c r="F719" s="281"/>
      <c r="G719" s="282">
        <v>18439</v>
      </c>
      <c r="H719" s="351" t="str">
        <f t="shared" si="37"/>
        <v>John Dohoo</v>
      </c>
      <c r="I719" s="353">
        <f t="shared" si="38"/>
        <v>1714</v>
      </c>
      <c r="J719" s="353">
        <f t="shared" si="39"/>
        <v>18439</v>
      </c>
    </row>
    <row r="720" spans="1:10" x14ac:dyDescent="0.2">
      <c r="A720" s="207">
        <v>1715</v>
      </c>
      <c r="B720" s="207" t="s">
        <v>502</v>
      </c>
      <c r="C720" s="207" t="s">
        <v>100</v>
      </c>
      <c r="D720" s="207" t="s">
        <v>127</v>
      </c>
      <c r="E720" s="281">
        <v>301026</v>
      </c>
      <c r="F720" s="281" t="s">
        <v>35</v>
      </c>
      <c r="G720" s="282">
        <v>30571</v>
      </c>
      <c r="H720" s="351" t="str">
        <f t="shared" si="37"/>
        <v>Clare Young</v>
      </c>
      <c r="I720" s="353">
        <f t="shared" si="38"/>
        <v>1715</v>
      </c>
      <c r="J720" s="353">
        <f t="shared" si="39"/>
        <v>30571</v>
      </c>
    </row>
    <row r="721" spans="1:10" x14ac:dyDescent="0.2">
      <c r="A721" s="207">
        <v>1716</v>
      </c>
      <c r="B721" s="207" t="s">
        <v>772</v>
      </c>
      <c r="C721" s="207" t="s">
        <v>520</v>
      </c>
      <c r="D721" s="207" t="s">
        <v>742</v>
      </c>
      <c r="E721" s="281">
        <v>0</v>
      </c>
      <c r="F721" s="281" t="s">
        <v>35</v>
      </c>
      <c r="G721" s="282">
        <v>37966</v>
      </c>
      <c r="H721" s="351" t="str">
        <f t="shared" si="37"/>
        <v>Isabel Moore</v>
      </c>
      <c r="I721" s="353">
        <f t="shared" si="38"/>
        <v>1716</v>
      </c>
      <c r="J721" s="353">
        <f t="shared" si="39"/>
        <v>37966</v>
      </c>
    </row>
    <row r="722" spans="1:10" x14ac:dyDescent="0.2">
      <c r="A722" s="207">
        <v>1717</v>
      </c>
      <c r="B722" s="207" t="s">
        <v>102</v>
      </c>
      <c r="C722" s="207" t="s">
        <v>876</v>
      </c>
      <c r="D722" s="207" t="s">
        <v>874</v>
      </c>
      <c r="E722" s="281">
        <v>0</v>
      </c>
      <c r="F722" s="281" t="s">
        <v>35</v>
      </c>
      <c r="G722" s="282">
        <v>37995</v>
      </c>
      <c r="H722" s="351" t="str">
        <f t="shared" si="37"/>
        <v>Amy Pinkett</v>
      </c>
      <c r="I722" s="353">
        <f t="shared" si="38"/>
        <v>1717</v>
      </c>
      <c r="J722" s="353">
        <f t="shared" si="39"/>
        <v>37995</v>
      </c>
    </row>
    <row r="723" spans="1:10" x14ac:dyDescent="0.2">
      <c r="A723" s="207">
        <v>1718</v>
      </c>
      <c r="B723" s="207" t="s">
        <v>1338</v>
      </c>
      <c r="C723" s="207" t="s">
        <v>70</v>
      </c>
      <c r="D723" s="207" t="s">
        <v>874</v>
      </c>
      <c r="E723" s="281">
        <v>0</v>
      </c>
      <c r="F723" s="281" t="s">
        <v>35</v>
      </c>
      <c r="G723" s="282">
        <v>37927</v>
      </c>
      <c r="H723" s="351" t="str">
        <f t="shared" si="37"/>
        <v>Amie Smith</v>
      </c>
      <c r="I723" s="353">
        <f t="shared" si="38"/>
        <v>1718</v>
      </c>
      <c r="J723" s="353">
        <f t="shared" si="39"/>
        <v>37927</v>
      </c>
    </row>
    <row r="724" spans="1:10" x14ac:dyDescent="0.2">
      <c r="A724" s="207">
        <v>1719</v>
      </c>
      <c r="B724" s="207" t="s">
        <v>160</v>
      </c>
      <c r="C724" s="207" t="s">
        <v>1370</v>
      </c>
      <c r="D724" s="207" t="s">
        <v>874</v>
      </c>
      <c r="E724" s="281">
        <v>0</v>
      </c>
      <c r="F724" s="281" t="s">
        <v>35</v>
      </c>
      <c r="G724" s="282">
        <v>38426</v>
      </c>
      <c r="H724" s="351" t="str">
        <f t="shared" si="37"/>
        <v>Megan Cannon</v>
      </c>
      <c r="I724" s="353">
        <f t="shared" si="38"/>
        <v>1719</v>
      </c>
      <c r="J724" s="353">
        <f t="shared" si="39"/>
        <v>38426</v>
      </c>
    </row>
    <row r="725" spans="1:10" x14ac:dyDescent="0.2">
      <c r="A725" s="207">
        <v>1720</v>
      </c>
      <c r="B725" s="207" t="s">
        <v>191</v>
      </c>
      <c r="C725" s="207" t="s">
        <v>491</v>
      </c>
      <c r="D725" s="207" t="s">
        <v>874</v>
      </c>
      <c r="E725" s="281">
        <v>0</v>
      </c>
      <c r="F725" s="281" t="s">
        <v>35</v>
      </c>
      <c r="G725" s="282">
        <v>37984</v>
      </c>
      <c r="H725" s="351" t="str">
        <f t="shared" si="37"/>
        <v>Olivia Christian</v>
      </c>
      <c r="I725" s="353">
        <f t="shared" si="38"/>
        <v>1720</v>
      </c>
      <c r="J725" s="353">
        <f t="shared" si="39"/>
        <v>37984</v>
      </c>
    </row>
    <row r="726" spans="1:10" x14ac:dyDescent="0.2">
      <c r="A726" s="207">
        <v>1721</v>
      </c>
      <c r="B726" s="207" t="s">
        <v>61</v>
      </c>
      <c r="C726" s="207" t="s">
        <v>1371</v>
      </c>
      <c r="D726" s="207" t="s">
        <v>874</v>
      </c>
      <c r="E726" s="281">
        <v>0</v>
      </c>
      <c r="F726" s="281"/>
      <c r="G726" s="282">
        <v>37774</v>
      </c>
      <c r="H726" s="351" t="str">
        <f t="shared" si="37"/>
        <v>Jonathan Panton</v>
      </c>
      <c r="I726" s="353">
        <f t="shared" si="38"/>
        <v>1721</v>
      </c>
      <c r="J726" s="353">
        <f t="shared" si="39"/>
        <v>37774</v>
      </c>
    </row>
    <row r="727" spans="1:10" x14ac:dyDescent="0.2">
      <c r="A727" s="207">
        <v>1722</v>
      </c>
      <c r="B727" s="207" t="s">
        <v>61</v>
      </c>
      <c r="C727" s="207" t="s">
        <v>94</v>
      </c>
      <c r="D727" s="207" t="s">
        <v>874</v>
      </c>
      <c r="E727" s="281">
        <v>0</v>
      </c>
      <c r="F727" s="281"/>
      <c r="G727" s="282">
        <v>38450</v>
      </c>
      <c r="H727" s="351" t="str">
        <f t="shared" si="37"/>
        <v>Jonathan Williams</v>
      </c>
      <c r="I727" s="353">
        <f t="shared" si="38"/>
        <v>1722</v>
      </c>
      <c r="J727" s="353">
        <f t="shared" si="39"/>
        <v>38450</v>
      </c>
    </row>
    <row r="728" spans="1:10" x14ac:dyDescent="0.2">
      <c r="A728" s="207">
        <v>1723</v>
      </c>
      <c r="B728" s="207" t="s">
        <v>179</v>
      </c>
      <c r="C728" s="207" t="s">
        <v>875</v>
      </c>
      <c r="D728" s="207" t="s">
        <v>874</v>
      </c>
      <c r="E728" s="281">
        <v>0</v>
      </c>
      <c r="F728" s="281"/>
      <c r="G728" s="282">
        <v>37907</v>
      </c>
      <c r="H728" s="351" t="str">
        <f t="shared" si="37"/>
        <v>Jake Pincombe</v>
      </c>
      <c r="I728" s="353">
        <f t="shared" si="38"/>
        <v>1723</v>
      </c>
      <c r="J728" s="353">
        <f t="shared" si="39"/>
        <v>37907</v>
      </c>
    </row>
    <row r="729" spans="1:10" x14ac:dyDescent="0.2">
      <c r="A729" s="207">
        <v>1724</v>
      </c>
      <c r="B729" s="207" t="s">
        <v>58</v>
      </c>
      <c r="C729" s="207" t="s">
        <v>70</v>
      </c>
      <c r="D729" s="207" t="s">
        <v>874</v>
      </c>
      <c r="E729" s="281">
        <v>765991</v>
      </c>
      <c r="F729" s="281"/>
      <c r="G729" s="282">
        <v>28200</v>
      </c>
      <c r="H729" s="351" t="str">
        <f t="shared" si="37"/>
        <v>John Smith</v>
      </c>
      <c r="I729" s="353">
        <f t="shared" si="38"/>
        <v>1724</v>
      </c>
      <c r="J729" s="353">
        <f t="shared" si="39"/>
        <v>28200</v>
      </c>
    </row>
    <row r="730" spans="1:10" x14ac:dyDescent="0.2">
      <c r="A730" s="207">
        <v>1725</v>
      </c>
      <c r="B730" s="207" t="s">
        <v>879</v>
      </c>
      <c r="C730" s="207" t="s">
        <v>880</v>
      </c>
      <c r="D730" s="207" t="s">
        <v>874</v>
      </c>
      <c r="E730" s="281">
        <v>11967768</v>
      </c>
      <c r="F730" s="281" t="s">
        <v>35</v>
      </c>
      <c r="G730" s="282">
        <v>35698</v>
      </c>
      <c r="H730" s="351" t="str">
        <f t="shared" si="37"/>
        <v>Grace Iredale</v>
      </c>
      <c r="I730" s="353">
        <f t="shared" si="38"/>
        <v>1725</v>
      </c>
      <c r="J730" s="353">
        <f t="shared" si="39"/>
        <v>35698</v>
      </c>
    </row>
    <row r="731" spans="1:10" x14ac:dyDescent="0.2">
      <c r="A731" s="207">
        <v>1726</v>
      </c>
      <c r="B731" s="207" t="s">
        <v>46</v>
      </c>
      <c r="C731" s="207" t="s">
        <v>491</v>
      </c>
      <c r="D731" s="207" t="s">
        <v>874</v>
      </c>
      <c r="E731" s="281">
        <v>934485</v>
      </c>
      <c r="F731" s="281" t="s">
        <v>35</v>
      </c>
      <c r="G731" s="282">
        <v>29985</v>
      </c>
      <c r="H731" s="351" t="str">
        <f t="shared" si="37"/>
        <v>Alex Christian</v>
      </c>
      <c r="I731" s="353">
        <f t="shared" si="38"/>
        <v>1726</v>
      </c>
      <c r="J731" s="353">
        <f t="shared" si="39"/>
        <v>29985</v>
      </c>
    </row>
    <row r="732" spans="1:10" x14ac:dyDescent="0.2">
      <c r="A732" s="207">
        <v>1727</v>
      </c>
      <c r="B732" s="207" t="s">
        <v>59</v>
      </c>
      <c r="C732" s="207" t="s">
        <v>876</v>
      </c>
      <c r="D732" s="207" t="s">
        <v>874</v>
      </c>
      <c r="E732" s="281">
        <v>977258</v>
      </c>
      <c r="F732" s="281"/>
      <c r="G732" s="282">
        <v>25288</v>
      </c>
      <c r="H732" s="351" t="str">
        <f t="shared" si="37"/>
        <v>Andrew Pinkett</v>
      </c>
      <c r="I732" s="353">
        <f t="shared" si="38"/>
        <v>1727</v>
      </c>
      <c r="J732" s="353">
        <f t="shared" si="39"/>
        <v>25288</v>
      </c>
    </row>
    <row r="733" spans="1:10" x14ac:dyDescent="0.2">
      <c r="A733" s="207">
        <v>1728</v>
      </c>
      <c r="B733" s="207" t="s">
        <v>101</v>
      </c>
      <c r="C733" s="207" t="s">
        <v>72</v>
      </c>
      <c r="D733" s="207" t="s">
        <v>1372</v>
      </c>
      <c r="E733" s="281">
        <v>725224</v>
      </c>
      <c r="F733" s="281"/>
      <c r="G733" s="282">
        <v>25463</v>
      </c>
      <c r="H733" s="351" t="str">
        <f t="shared" si="37"/>
        <v>Andy Ellis</v>
      </c>
      <c r="I733" s="353">
        <f t="shared" si="38"/>
        <v>1728</v>
      </c>
      <c r="J733" s="353">
        <f t="shared" si="39"/>
        <v>25463</v>
      </c>
    </row>
    <row r="734" spans="1:10" x14ac:dyDescent="0.2">
      <c r="A734" s="207">
        <v>1729</v>
      </c>
      <c r="B734" s="207" t="s">
        <v>151</v>
      </c>
      <c r="C734" s="207" t="s">
        <v>70</v>
      </c>
      <c r="D734" s="207" t="s">
        <v>874</v>
      </c>
      <c r="E734" s="281">
        <v>0</v>
      </c>
      <c r="F734" s="281"/>
      <c r="G734" s="282">
        <v>37293</v>
      </c>
      <c r="H734" s="351" t="str">
        <f t="shared" si="37"/>
        <v>Ryan Smith</v>
      </c>
      <c r="I734" s="353">
        <f t="shared" si="38"/>
        <v>1729</v>
      </c>
      <c r="J734" s="353">
        <f t="shared" si="39"/>
        <v>37293</v>
      </c>
    </row>
    <row r="735" spans="1:10" x14ac:dyDescent="0.2">
      <c r="A735" s="207">
        <v>1730</v>
      </c>
      <c r="B735" s="207" t="s">
        <v>878</v>
      </c>
      <c r="C735" s="207" t="s">
        <v>491</v>
      </c>
      <c r="D735" s="207" t="s">
        <v>1372</v>
      </c>
      <c r="E735" s="281">
        <v>947623</v>
      </c>
      <c r="F735" s="281"/>
      <c r="G735" s="282">
        <v>26764</v>
      </c>
      <c r="H735" s="351" t="str">
        <f t="shared" si="37"/>
        <v>Ashley Christian</v>
      </c>
      <c r="I735" s="353">
        <f t="shared" si="38"/>
        <v>1730</v>
      </c>
      <c r="J735" s="353">
        <f t="shared" si="39"/>
        <v>26764</v>
      </c>
    </row>
    <row r="736" spans="1:10" x14ac:dyDescent="0.2">
      <c r="A736" s="207">
        <v>1731</v>
      </c>
      <c r="B736" s="207" t="s">
        <v>48</v>
      </c>
      <c r="C736" s="207" t="s">
        <v>72</v>
      </c>
      <c r="D736" s="207" t="s">
        <v>874</v>
      </c>
      <c r="E736" s="281">
        <v>0</v>
      </c>
      <c r="F736" s="281"/>
      <c r="G736" s="282">
        <v>37354</v>
      </c>
      <c r="H736" s="351" t="str">
        <f t="shared" si="37"/>
        <v>George Ellis</v>
      </c>
      <c r="I736" s="353">
        <f t="shared" si="38"/>
        <v>1731</v>
      </c>
      <c r="J736" s="353">
        <f t="shared" si="39"/>
        <v>37354</v>
      </c>
    </row>
    <row r="737" spans="1:10" x14ac:dyDescent="0.2">
      <c r="A737" s="207">
        <v>1732</v>
      </c>
      <c r="B737" s="207" t="s">
        <v>513</v>
      </c>
      <c r="C737" s="207" t="s">
        <v>875</v>
      </c>
      <c r="D737" s="207" t="s">
        <v>874</v>
      </c>
      <c r="E737" s="281">
        <v>0</v>
      </c>
      <c r="F737" s="281" t="s">
        <v>35</v>
      </c>
      <c r="G737" s="282">
        <v>37205</v>
      </c>
      <c r="H737" s="351" t="str">
        <f t="shared" si="37"/>
        <v>Ellie Pincombe</v>
      </c>
      <c r="I737" s="353">
        <f t="shared" si="38"/>
        <v>1732</v>
      </c>
      <c r="J737" s="353">
        <f t="shared" si="39"/>
        <v>37205</v>
      </c>
    </row>
    <row r="738" spans="1:10" x14ac:dyDescent="0.2">
      <c r="A738" s="207">
        <v>1733</v>
      </c>
      <c r="B738" s="207" t="s">
        <v>666</v>
      </c>
      <c r="C738" s="207" t="s">
        <v>125</v>
      </c>
      <c r="D738" s="207" t="s">
        <v>487</v>
      </c>
      <c r="E738" s="281">
        <v>0</v>
      </c>
      <c r="F738" s="281" t="s">
        <v>35</v>
      </c>
      <c r="G738" s="282">
        <v>36664</v>
      </c>
      <c r="H738" s="351" t="str">
        <f t="shared" si="37"/>
        <v>Elise Powis</v>
      </c>
      <c r="I738" s="353">
        <f t="shared" si="38"/>
        <v>1733</v>
      </c>
      <c r="J738" s="353">
        <f t="shared" si="39"/>
        <v>36664</v>
      </c>
    </row>
    <row r="739" spans="1:10" x14ac:dyDescent="0.2">
      <c r="A739" s="207">
        <v>1734</v>
      </c>
      <c r="B739" s="207" t="s">
        <v>59</v>
      </c>
      <c r="C739" s="207" t="s">
        <v>664</v>
      </c>
      <c r="D739" s="207" t="s">
        <v>1373</v>
      </c>
      <c r="E739" s="281">
        <v>265941</v>
      </c>
      <c r="F739" s="281"/>
      <c r="G739" s="282">
        <v>29468</v>
      </c>
      <c r="H739" s="351" t="str">
        <f t="shared" si="37"/>
        <v>Andrew Gorley</v>
      </c>
      <c r="I739" s="353">
        <f t="shared" si="38"/>
        <v>1734</v>
      </c>
      <c r="J739" s="353">
        <f t="shared" si="39"/>
        <v>29468</v>
      </c>
    </row>
    <row r="740" spans="1:10" x14ac:dyDescent="0.2">
      <c r="A740" s="207">
        <v>1735</v>
      </c>
      <c r="B740" s="207" t="s">
        <v>59</v>
      </c>
      <c r="C740" s="207" t="s">
        <v>1374</v>
      </c>
      <c r="D740" s="207" t="s">
        <v>1373</v>
      </c>
      <c r="E740" s="281">
        <v>865084</v>
      </c>
      <c r="F740" s="281"/>
      <c r="G740" s="282"/>
      <c r="H740" s="351" t="str">
        <f t="shared" si="37"/>
        <v>Andrew Emerson</v>
      </c>
      <c r="I740" s="353">
        <f t="shared" si="38"/>
        <v>1735</v>
      </c>
      <c r="J740" s="353">
        <f t="shared" si="39"/>
        <v>0</v>
      </c>
    </row>
    <row r="741" spans="1:10" x14ac:dyDescent="0.2">
      <c r="A741" s="207">
        <v>1736</v>
      </c>
      <c r="B741" s="207" t="s">
        <v>66</v>
      </c>
      <c r="C741" s="207" t="s">
        <v>1374</v>
      </c>
      <c r="D741" s="207" t="s">
        <v>1373</v>
      </c>
      <c r="E741" s="281">
        <v>990134</v>
      </c>
      <c r="F741" s="281"/>
      <c r="G741" s="282">
        <v>35807</v>
      </c>
      <c r="H741" s="351" t="str">
        <f t="shared" si="37"/>
        <v>Matthew Emerson</v>
      </c>
      <c r="I741" s="353">
        <f t="shared" si="38"/>
        <v>1736</v>
      </c>
      <c r="J741" s="353">
        <f t="shared" si="39"/>
        <v>35807</v>
      </c>
    </row>
    <row r="742" spans="1:10" x14ac:dyDescent="0.2">
      <c r="A742" s="207">
        <v>1737</v>
      </c>
      <c r="B742" s="207" t="s">
        <v>991</v>
      </c>
      <c r="C742" s="207" t="s">
        <v>664</v>
      </c>
      <c r="D742" s="207" t="s">
        <v>1373</v>
      </c>
      <c r="E742" s="281">
        <v>568931</v>
      </c>
      <c r="F742" s="281" t="s">
        <v>35</v>
      </c>
      <c r="G742" s="282">
        <v>31059</v>
      </c>
      <c r="H742" s="351" t="str">
        <f t="shared" si="37"/>
        <v>Bryony Gorley</v>
      </c>
      <c r="I742" s="353">
        <f t="shared" si="38"/>
        <v>1737</v>
      </c>
      <c r="J742" s="353">
        <f t="shared" si="39"/>
        <v>31059</v>
      </c>
    </row>
    <row r="743" spans="1:10" x14ac:dyDescent="0.2">
      <c r="A743" s="207">
        <v>1738</v>
      </c>
      <c r="B743" s="207" t="s">
        <v>1024</v>
      </c>
      <c r="C743" s="207" t="s">
        <v>1025</v>
      </c>
      <c r="D743" s="207" t="s">
        <v>528</v>
      </c>
      <c r="E743" s="281"/>
      <c r="F743" s="281"/>
      <c r="G743" s="282">
        <v>0</v>
      </c>
      <c r="H743" s="351" t="str">
        <f t="shared" si="37"/>
        <v>DNS in 2016 !</v>
      </c>
      <c r="I743" s="353">
        <f t="shared" si="38"/>
        <v>1738</v>
      </c>
      <c r="J743" s="353">
        <f t="shared" si="39"/>
        <v>0</v>
      </c>
    </row>
    <row r="744" spans="1:10" x14ac:dyDescent="0.2">
      <c r="A744" s="207">
        <v>1739</v>
      </c>
      <c r="B744" s="207" t="s">
        <v>79</v>
      </c>
      <c r="C744" s="207" t="s">
        <v>78</v>
      </c>
      <c r="D744" s="207" t="s">
        <v>1373</v>
      </c>
      <c r="E744" s="281">
        <v>0</v>
      </c>
      <c r="F744" s="281"/>
      <c r="G744" s="282"/>
      <c r="H744" s="351" t="str">
        <f t="shared" si="37"/>
        <v>Robert Heath</v>
      </c>
      <c r="I744" s="353">
        <f t="shared" si="38"/>
        <v>1739</v>
      </c>
      <c r="J744" s="353">
        <f t="shared" si="39"/>
        <v>0</v>
      </c>
    </row>
    <row r="745" spans="1:10" x14ac:dyDescent="0.2">
      <c r="A745" s="207">
        <v>1740</v>
      </c>
      <c r="B745" s="207" t="s">
        <v>76</v>
      </c>
      <c r="C745" s="207" t="s">
        <v>77</v>
      </c>
      <c r="D745" s="207" t="s">
        <v>1375</v>
      </c>
      <c r="E745" s="281">
        <v>222617</v>
      </c>
      <c r="F745" s="281"/>
      <c r="G745" s="282">
        <v>24627</v>
      </c>
      <c r="H745" s="351" t="str">
        <f t="shared" si="37"/>
        <v>Leslie Button</v>
      </c>
      <c r="I745" s="353">
        <f t="shared" si="38"/>
        <v>1740</v>
      </c>
      <c r="J745" s="353">
        <f t="shared" si="39"/>
        <v>24627</v>
      </c>
    </row>
    <row r="746" spans="1:10" x14ac:dyDescent="0.2">
      <c r="A746" s="207">
        <v>1741</v>
      </c>
      <c r="B746" s="207" t="s">
        <v>99</v>
      </c>
      <c r="C746" s="207" t="s">
        <v>664</v>
      </c>
      <c r="D746" s="207" t="s">
        <v>1373</v>
      </c>
      <c r="E746" s="281">
        <v>0</v>
      </c>
      <c r="F746" s="281"/>
      <c r="G746" s="282">
        <v>37441</v>
      </c>
      <c r="H746" s="351" t="str">
        <f t="shared" si="37"/>
        <v>Oliver Gorley</v>
      </c>
      <c r="I746" s="353">
        <f t="shared" si="38"/>
        <v>1741</v>
      </c>
      <c r="J746" s="353">
        <f t="shared" si="39"/>
        <v>37441</v>
      </c>
    </row>
    <row r="747" spans="1:10" x14ac:dyDescent="0.2">
      <c r="A747" s="207">
        <v>1742</v>
      </c>
      <c r="B747" s="207" t="s">
        <v>1024</v>
      </c>
      <c r="C747" s="207" t="s">
        <v>1025</v>
      </c>
      <c r="D747" s="207" t="s">
        <v>528</v>
      </c>
      <c r="E747" s="281"/>
      <c r="F747" s="281"/>
      <c r="G747" s="282">
        <v>0</v>
      </c>
      <c r="H747" s="351" t="str">
        <f t="shared" si="37"/>
        <v>DNS in 2016 !</v>
      </c>
      <c r="I747" s="353">
        <f t="shared" si="38"/>
        <v>1742</v>
      </c>
      <c r="J747" s="353">
        <f t="shared" si="39"/>
        <v>0</v>
      </c>
    </row>
    <row r="748" spans="1:10" x14ac:dyDescent="0.2">
      <c r="A748" s="207">
        <v>1743</v>
      </c>
      <c r="B748" s="207" t="s">
        <v>1376</v>
      </c>
      <c r="C748" s="207" t="s">
        <v>1377</v>
      </c>
      <c r="D748" s="207" t="s">
        <v>658</v>
      </c>
      <c r="E748" s="281"/>
      <c r="F748" s="281"/>
      <c r="G748" s="282">
        <v>36621</v>
      </c>
      <c r="H748" s="351" t="str">
        <f t="shared" si="37"/>
        <v>Keeler Brunei</v>
      </c>
      <c r="I748" s="353">
        <f t="shared" si="38"/>
        <v>1743</v>
      </c>
      <c r="J748" s="353">
        <f t="shared" si="39"/>
        <v>36621</v>
      </c>
    </row>
    <row r="749" spans="1:10" x14ac:dyDescent="0.2">
      <c r="A749" s="207">
        <v>1744</v>
      </c>
      <c r="B749" s="207" t="s">
        <v>1024</v>
      </c>
      <c r="C749" s="207" t="s">
        <v>1025</v>
      </c>
      <c r="D749" s="207" t="s">
        <v>528</v>
      </c>
      <c r="E749" s="281"/>
      <c r="F749" s="281"/>
      <c r="G749" s="282">
        <v>0</v>
      </c>
      <c r="H749" s="351" t="str">
        <f t="shared" si="37"/>
        <v>DNS in 2016 !</v>
      </c>
      <c r="I749" s="353">
        <f t="shared" si="38"/>
        <v>1744</v>
      </c>
      <c r="J749" s="353">
        <f t="shared" si="39"/>
        <v>0</v>
      </c>
    </row>
    <row r="750" spans="1:10" x14ac:dyDescent="0.2">
      <c r="A750" s="207">
        <v>1745</v>
      </c>
      <c r="B750" s="207" t="s">
        <v>82</v>
      </c>
      <c r="C750" s="207" t="s">
        <v>70</v>
      </c>
      <c r="D750" s="207" t="s">
        <v>1373</v>
      </c>
      <c r="E750" s="281">
        <v>0</v>
      </c>
      <c r="F750" s="281"/>
      <c r="G750" s="282">
        <v>36308</v>
      </c>
      <c r="H750" s="351" t="str">
        <f t="shared" si="37"/>
        <v>Kieran Smith</v>
      </c>
      <c r="I750" s="353">
        <f t="shared" si="38"/>
        <v>1745</v>
      </c>
      <c r="J750" s="353">
        <f t="shared" si="39"/>
        <v>36308</v>
      </c>
    </row>
    <row r="751" spans="1:10" x14ac:dyDescent="0.2">
      <c r="A751" s="207">
        <v>1746</v>
      </c>
      <c r="B751" s="207" t="s">
        <v>83</v>
      </c>
      <c r="C751" s="207" t="s">
        <v>70</v>
      </c>
      <c r="D751" s="207" t="s">
        <v>1373</v>
      </c>
      <c r="E751" s="281">
        <v>11930719</v>
      </c>
      <c r="F751" s="281"/>
      <c r="G751" s="282">
        <v>35501</v>
      </c>
      <c r="H751" s="351" t="str">
        <f t="shared" si="37"/>
        <v>Calum Smith</v>
      </c>
      <c r="I751" s="353">
        <f t="shared" si="38"/>
        <v>1746</v>
      </c>
      <c r="J751" s="353">
        <f t="shared" si="39"/>
        <v>35501</v>
      </c>
    </row>
    <row r="752" spans="1:10" x14ac:dyDescent="0.2">
      <c r="A752" s="207">
        <v>1747</v>
      </c>
      <c r="B752" s="207" t="s">
        <v>123</v>
      </c>
      <c r="C752" s="207" t="s">
        <v>70</v>
      </c>
      <c r="D752" s="207" t="s">
        <v>1373</v>
      </c>
      <c r="E752" s="281">
        <v>0</v>
      </c>
      <c r="F752" s="281"/>
      <c r="G752" s="282">
        <v>37274</v>
      </c>
      <c r="H752" s="351" t="str">
        <f t="shared" si="37"/>
        <v>Owen Smith</v>
      </c>
      <c r="I752" s="353">
        <f t="shared" si="38"/>
        <v>1747</v>
      </c>
      <c r="J752" s="353">
        <f t="shared" si="39"/>
        <v>37274</v>
      </c>
    </row>
    <row r="753" spans="1:10" x14ac:dyDescent="0.2">
      <c r="A753" s="207">
        <v>1748</v>
      </c>
      <c r="B753" s="207" t="s">
        <v>1378</v>
      </c>
      <c r="C753" s="207" t="s">
        <v>1379</v>
      </c>
      <c r="D753" s="207" t="s">
        <v>1380</v>
      </c>
      <c r="E753" s="281">
        <v>0</v>
      </c>
      <c r="F753" s="281" t="s">
        <v>35</v>
      </c>
      <c r="G753" s="282">
        <v>37930</v>
      </c>
      <c r="H753" s="351" t="str">
        <f t="shared" si="37"/>
        <v>Reah Chagger</v>
      </c>
      <c r="I753" s="353">
        <f t="shared" si="38"/>
        <v>1748</v>
      </c>
      <c r="J753" s="353">
        <f t="shared" si="39"/>
        <v>37930</v>
      </c>
    </row>
    <row r="754" spans="1:10" x14ac:dyDescent="0.2">
      <c r="A754" s="207">
        <v>1749</v>
      </c>
      <c r="B754" s="207" t="s">
        <v>1000</v>
      </c>
      <c r="C754" s="207" t="s">
        <v>847</v>
      </c>
      <c r="D754" s="207" t="s">
        <v>487</v>
      </c>
      <c r="E754" s="281">
        <v>0</v>
      </c>
      <c r="F754" s="281" t="s">
        <v>35</v>
      </c>
      <c r="G754" s="282">
        <v>36190</v>
      </c>
      <c r="H754" s="351" t="str">
        <f t="shared" si="37"/>
        <v>Elenor Perrett</v>
      </c>
      <c r="I754" s="353">
        <f t="shared" si="38"/>
        <v>1749</v>
      </c>
      <c r="J754" s="353">
        <f t="shared" si="39"/>
        <v>36190</v>
      </c>
    </row>
    <row r="755" spans="1:10" x14ac:dyDescent="0.2">
      <c r="A755" s="207">
        <v>1750</v>
      </c>
      <c r="B755" s="207" t="s">
        <v>1381</v>
      </c>
      <c r="C755" s="207" t="s">
        <v>1382</v>
      </c>
      <c r="D755" s="207" t="s">
        <v>1383</v>
      </c>
      <c r="E755" s="281">
        <v>0</v>
      </c>
      <c r="F755" s="281"/>
      <c r="G755" s="282">
        <v>36816</v>
      </c>
      <c r="H755" s="351" t="str">
        <f t="shared" si="37"/>
        <v>Rowan Dressel</v>
      </c>
      <c r="I755" s="353">
        <f t="shared" si="38"/>
        <v>1750</v>
      </c>
      <c r="J755" s="353">
        <f t="shared" si="39"/>
        <v>36816</v>
      </c>
    </row>
    <row r="756" spans="1:10" x14ac:dyDescent="0.2">
      <c r="A756" s="207">
        <v>1751</v>
      </c>
      <c r="B756" s="207" t="s">
        <v>46</v>
      </c>
      <c r="C756" s="207" t="s">
        <v>1384</v>
      </c>
      <c r="D756" s="207" t="s">
        <v>854</v>
      </c>
      <c r="E756" s="281">
        <v>0</v>
      </c>
      <c r="F756" s="281"/>
      <c r="G756" s="282">
        <v>38440</v>
      </c>
      <c r="H756" s="351" t="str">
        <f t="shared" si="37"/>
        <v>Alex Nicholls</v>
      </c>
      <c r="I756" s="353">
        <f t="shared" si="38"/>
        <v>1751</v>
      </c>
      <c r="J756" s="353">
        <f t="shared" si="39"/>
        <v>38440</v>
      </c>
    </row>
    <row r="757" spans="1:10" x14ac:dyDescent="0.2">
      <c r="A757" s="207">
        <v>1752</v>
      </c>
      <c r="B757" s="207" t="s">
        <v>669</v>
      </c>
      <c r="C757" s="207" t="s">
        <v>670</v>
      </c>
      <c r="D757" s="207" t="s">
        <v>667</v>
      </c>
      <c r="E757" s="281">
        <v>0</v>
      </c>
      <c r="F757" s="281" t="s">
        <v>35</v>
      </c>
      <c r="G757" s="282">
        <v>37433</v>
      </c>
      <c r="H757" s="351" t="str">
        <f t="shared" si="37"/>
        <v>Tilly Mountney</v>
      </c>
      <c r="I757" s="353">
        <f t="shared" si="38"/>
        <v>1752</v>
      </c>
      <c r="J757" s="353">
        <f t="shared" si="39"/>
        <v>37433</v>
      </c>
    </row>
    <row r="758" spans="1:10" x14ac:dyDescent="0.2">
      <c r="A758" s="207">
        <v>1753</v>
      </c>
      <c r="B758" s="207" t="s">
        <v>561</v>
      </c>
      <c r="C758" s="207" t="s">
        <v>987</v>
      </c>
      <c r="D758" s="207" t="s">
        <v>667</v>
      </c>
      <c r="E758" s="281">
        <v>0</v>
      </c>
      <c r="F758" s="281" t="s">
        <v>35</v>
      </c>
      <c r="G758" s="282">
        <v>37393</v>
      </c>
      <c r="H758" s="351" t="str">
        <f t="shared" si="37"/>
        <v>Isabelle Upson</v>
      </c>
      <c r="I758" s="353">
        <f t="shared" si="38"/>
        <v>1753</v>
      </c>
      <c r="J758" s="353">
        <f t="shared" si="39"/>
        <v>37393</v>
      </c>
    </row>
    <row r="759" spans="1:10" x14ac:dyDescent="0.2">
      <c r="A759" s="207">
        <v>1754</v>
      </c>
      <c r="B759" s="207" t="s">
        <v>1385</v>
      </c>
      <c r="C759" s="207" t="s">
        <v>1386</v>
      </c>
      <c r="D759" s="207" t="s">
        <v>667</v>
      </c>
      <c r="E759" s="281"/>
      <c r="F759" s="281" t="s">
        <v>35</v>
      </c>
      <c r="G759" s="282">
        <v>38314</v>
      </c>
      <c r="H759" s="351" t="str">
        <f t="shared" si="37"/>
        <v>Shannon Watkins</v>
      </c>
      <c r="I759" s="353">
        <f t="shared" si="38"/>
        <v>1754</v>
      </c>
      <c r="J759" s="353">
        <f t="shared" si="39"/>
        <v>38314</v>
      </c>
    </row>
    <row r="760" spans="1:10" x14ac:dyDescent="0.2">
      <c r="A760" s="207">
        <v>1755</v>
      </c>
      <c r="B760" s="207" t="s">
        <v>657</v>
      </c>
      <c r="C760" s="207" t="s">
        <v>538</v>
      </c>
      <c r="D760" s="207" t="s">
        <v>667</v>
      </c>
      <c r="E760" s="281">
        <v>0</v>
      </c>
      <c r="F760" s="281" t="s">
        <v>35</v>
      </c>
      <c r="G760" s="282">
        <v>37292</v>
      </c>
      <c r="H760" s="351" t="str">
        <f t="shared" si="37"/>
        <v>Caitlin Clark</v>
      </c>
      <c r="I760" s="353">
        <f t="shared" si="38"/>
        <v>1755</v>
      </c>
      <c r="J760" s="353">
        <f t="shared" si="39"/>
        <v>37292</v>
      </c>
    </row>
    <row r="761" spans="1:10" x14ac:dyDescent="0.2">
      <c r="A761" s="207">
        <v>1756</v>
      </c>
      <c r="B761" s="207" t="s">
        <v>63</v>
      </c>
      <c r="C761" s="207" t="s">
        <v>1387</v>
      </c>
      <c r="D761" s="207" t="s">
        <v>667</v>
      </c>
      <c r="E761" s="281">
        <v>0</v>
      </c>
      <c r="F761" s="281"/>
      <c r="G761" s="282">
        <v>37183</v>
      </c>
      <c r="H761" s="351" t="str">
        <f t="shared" si="37"/>
        <v>Aaron Eckley</v>
      </c>
      <c r="I761" s="353">
        <f t="shared" si="38"/>
        <v>1756</v>
      </c>
      <c r="J761" s="353">
        <f t="shared" si="39"/>
        <v>37183</v>
      </c>
    </row>
    <row r="762" spans="1:10" x14ac:dyDescent="0.2">
      <c r="A762" s="207">
        <v>1757</v>
      </c>
      <c r="B762" s="207" t="s">
        <v>123</v>
      </c>
      <c r="C762" s="207" t="s">
        <v>986</v>
      </c>
      <c r="D762" s="207" t="s">
        <v>667</v>
      </c>
      <c r="E762" s="281">
        <v>0</v>
      </c>
      <c r="F762" s="281"/>
      <c r="G762" s="282">
        <v>36991</v>
      </c>
      <c r="H762" s="351" t="str">
        <f t="shared" si="37"/>
        <v>Owen Keating</v>
      </c>
      <c r="I762" s="353">
        <f t="shared" si="38"/>
        <v>1757</v>
      </c>
      <c r="J762" s="353">
        <f t="shared" si="39"/>
        <v>36991</v>
      </c>
    </row>
    <row r="763" spans="1:10" x14ac:dyDescent="0.2">
      <c r="A763" s="207">
        <v>1758</v>
      </c>
      <c r="B763" s="207" t="s">
        <v>135</v>
      </c>
      <c r="C763" s="207" t="s">
        <v>668</v>
      </c>
      <c r="D763" s="207" t="s">
        <v>667</v>
      </c>
      <c r="E763" s="281">
        <v>0</v>
      </c>
      <c r="F763" s="281"/>
      <c r="G763" s="282">
        <v>36709</v>
      </c>
      <c r="H763" s="351" t="str">
        <f t="shared" si="37"/>
        <v>Jack Gallagher</v>
      </c>
      <c r="I763" s="353">
        <f t="shared" si="38"/>
        <v>1758</v>
      </c>
      <c r="J763" s="353">
        <f t="shared" si="39"/>
        <v>36709</v>
      </c>
    </row>
    <row r="764" spans="1:10" x14ac:dyDescent="0.2">
      <c r="A764" s="207">
        <v>1759</v>
      </c>
      <c r="B764" s="207" t="s">
        <v>1024</v>
      </c>
      <c r="C764" s="207" t="s">
        <v>1025</v>
      </c>
      <c r="D764" s="207" t="s">
        <v>528</v>
      </c>
      <c r="E764" s="281"/>
      <c r="F764" s="281"/>
      <c r="G764" s="282">
        <v>0</v>
      </c>
      <c r="H764" s="351" t="str">
        <f t="shared" si="37"/>
        <v>DNS in 2016 !</v>
      </c>
      <c r="I764" s="353">
        <f t="shared" si="38"/>
        <v>1759</v>
      </c>
      <c r="J764" s="353">
        <f t="shared" si="39"/>
        <v>0</v>
      </c>
    </row>
    <row r="765" spans="1:10" x14ac:dyDescent="0.2">
      <c r="A765" s="207">
        <v>1760</v>
      </c>
      <c r="B765" s="207" t="s">
        <v>1024</v>
      </c>
      <c r="C765" s="207" t="s">
        <v>1025</v>
      </c>
      <c r="D765" s="207" t="s">
        <v>528</v>
      </c>
      <c r="E765" s="281"/>
      <c r="F765" s="281"/>
      <c r="G765" s="282">
        <v>0</v>
      </c>
      <c r="H765" s="351" t="str">
        <f t="shared" si="37"/>
        <v>DNS in 2016 !</v>
      </c>
      <c r="I765" s="353">
        <f t="shared" si="38"/>
        <v>1760</v>
      </c>
      <c r="J765" s="353">
        <f t="shared" si="39"/>
        <v>0</v>
      </c>
    </row>
    <row r="766" spans="1:10" x14ac:dyDescent="0.2">
      <c r="A766" s="207">
        <v>1761</v>
      </c>
      <c r="B766" s="207" t="s">
        <v>65</v>
      </c>
      <c r="C766" s="207" t="s">
        <v>1388</v>
      </c>
      <c r="D766" s="207" t="s">
        <v>667</v>
      </c>
      <c r="E766" s="281">
        <v>0</v>
      </c>
      <c r="F766" s="281"/>
      <c r="G766" s="282">
        <v>38522</v>
      </c>
      <c r="H766" s="351" t="str">
        <f t="shared" si="37"/>
        <v>Daniel Woollard</v>
      </c>
      <c r="I766" s="353">
        <f t="shared" si="38"/>
        <v>1761</v>
      </c>
      <c r="J766" s="353">
        <f t="shared" si="39"/>
        <v>38522</v>
      </c>
    </row>
    <row r="767" spans="1:10" x14ac:dyDescent="0.2">
      <c r="A767" s="207">
        <v>1762</v>
      </c>
      <c r="B767" s="207" t="s">
        <v>1389</v>
      </c>
      <c r="C767" s="207" t="s">
        <v>1390</v>
      </c>
      <c r="D767" s="207" t="s">
        <v>667</v>
      </c>
      <c r="E767" s="281">
        <v>0</v>
      </c>
      <c r="F767" s="281" t="s">
        <v>35</v>
      </c>
      <c r="G767" s="282">
        <v>38489</v>
      </c>
      <c r="H767" s="351" t="str">
        <f t="shared" si="37"/>
        <v>Saffron Long</v>
      </c>
      <c r="I767" s="353">
        <f t="shared" si="38"/>
        <v>1762</v>
      </c>
      <c r="J767" s="353">
        <f t="shared" si="39"/>
        <v>38489</v>
      </c>
    </row>
    <row r="768" spans="1:10" x14ac:dyDescent="0.2">
      <c r="A768" s="207">
        <v>1763</v>
      </c>
      <c r="B768" s="207" t="s">
        <v>872</v>
      </c>
      <c r="C768" s="207" t="s">
        <v>1110</v>
      </c>
      <c r="D768" s="207" t="s">
        <v>667</v>
      </c>
      <c r="E768" s="281">
        <v>0</v>
      </c>
      <c r="F768" s="281"/>
      <c r="G768" s="282">
        <v>38333</v>
      </c>
      <c r="H768" s="351" t="str">
        <f t="shared" si="37"/>
        <v>Jacob Franklin</v>
      </c>
      <c r="I768" s="353">
        <f t="shared" si="38"/>
        <v>1763</v>
      </c>
      <c r="J768" s="353">
        <f t="shared" si="39"/>
        <v>38333</v>
      </c>
    </row>
    <row r="769" spans="1:10" x14ac:dyDescent="0.2">
      <c r="A769" s="207">
        <v>1764</v>
      </c>
      <c r="B769" s="207" t="s">
        <v>135</v>
      </c>
      <c r="C769" s="207" t="s">
        <v>988</v>
      </c>
      <c r="D769" s="207" t="s">
        <v>667</v>
      </c>
      <c r="E769" s="281">
        <v>0</v>
      </c>
      <c r="F769" s="281"/>
      <c r="G769" s="282">
        <v>38141</v>
      </c>
      <c r="H769" s="351" t="str">
        <f t="shared" si="37"/>
        <v>Jack Quinlan</v>
      </c>
      <c r="I769" s="353">
        <f t="shared" si="38"/>
        <v>1764</v>
      </c>
      <c r="J769" s="353">
        <f t="shared" si="39"/>
        <v>38141</v>
      </c>
    </row>
    <row r="770" spans="1:10" x14ac:dyDescent="0.2">
      <c r="A770" s="207">
        <v>1765</v>
      </c>
      <c r="B770" s="207" t="s">
        <v>1024</v>
      </c>
      <c r="C770" s="207" t="s">
        <v>1025</v>
      </c>
      <c r="D770" s="207" t="s">
        <v>528</v>
      </c>
      <c r="E770" s="281"/>
      <c r="F770" s="281"/>
      <c r="G770" s="282">
        <v>0</v>
      </c>
      <c r="H770" s="351" t="str">
        <f t="shared" si="37"/>
        <v>DNS in 2016 !</v>
      </c>
      <c r="I770" s="353">
        <f t="shared" si="38"/>
        <v>1765</v>
      </c>
      <c r="J770" s="353">
        <f t="shared" si="39"/>
        <v>0</v>
      </c>
    </row>
    <row r="771" spans="1:10" x14ac:dyDescent="0.2">
      <c r="A771" s="207">
        <v>1766</v>
      </c>
      <c r="B771" s="207" t="s">
        <v>99</v>
      </c>
      <c r="C771" s="207" t="s">
        <v>987</v>
      </c>
      <c r="D771" s="207" t="s">
        <v>667</v>
      </c>
      <c r="E771" s="281">
        <v>0</v>
      </c>
      <c r="F771" s="281"/>
      <c r="G771" s="282">
        <v>37981</v>
      </c>
      <c r="H771" s="351" t="str">
        <f t="shared" si="37"/>
        <v>Oliver Upson</v>
      </c>
      <c r="I771" s="353">
        <f t="shared" si="38"/>
        <v>1766</v>
      </c>
      <c r="J771" s="353">
        <f t="shared" si="39"/>
        <v>37981</v>
      </c>
    </row>
    <row r="772" spans="1:10" x14ac:dyDescent="0.2">
      <c r="A772" s="207">
        <v>1767</v>
      </c>
      <c r="B772" s="207" t="s">
        <v>207</v>
      </c>
      <c r="C772" s="207" t="s">
        <v>670</v>
      </c>
      <c r="D772" s="207" t="s">
        <v>667</v>
      </c>
      <c r="E772" s="281">
        <v>820928</v>
      </c>
      <c r="F772" s="281"/>
      <c r="G772" s="282">
        <v>24769</v>
      </c>
      <c r="H772" s="351" t="str">
        <f t="shared" si="37"/>
        <v>Simon Mountney</v>
      </c>
      <c r="I772" s="353">
        <f t="shared" si="38"/>
        <v>1767</v>
      </c>
      <c r="J772" s="353">
        <f t="shared" si="39"/>
        <v>24769</v>
      </c>
    </row>
    <row r="773" spans="1:10" x14ac:dyDescent="0.2">
      <c r="A773" s="207">
        <v>1768</v>
      </c>
      <c r="B773" s="207" t="s">
        <v>1391</v>
      </c>
      <c r="C773" s="207" t="s">
        <v>1392</v>
      </c>
      <c r="D773" s="207" t="s">
        <v>667</v>
      </c>
      <c r="E773" s="281">
        <v>103085</v>
      </c>
      <c r="F773" s="281"/>
      <c r="G773" s="282">
        <v>20110</v>
      </c>
      <c r="H773" s="351" t="str">
        <f t="shared" si="37"/>
        <v>Len Skinner</v>
      </c>
      <c r="I773" s="353">
        <f t="shared" si="38"/>
        <v>1768</v>
      </c>
      <c r="J773" s="353">
        <f t="shared" si="39"/>
        <v>20110</v>
      </c>
    </row>
    <row r="774" spans="1:10" x14ac:dyDescent="0.2">
      <c r="A774" s="207">
        <v>1769</v>
      </c>
      <c r="B774" s="207" t="s">
        <v>56</v>
      </c>
      <c r="C774" s="207" t="s">
        <v>146</v>
      </c>
      <c r="D774" s="207" t="s">
        <v>145</v>
      </c>
      <c r="E774" s="281">
        <v>11809433</v>
      </c>
      <c r="F774" s="281"/>
      <c r="G774" s="282">
        <v>35515</v>
      </c>
      <c r="H774" s="351" t="str">
        <f t="shared" si="37"/>
        <v>Matt Carr</v>
      </c>
      <c r="I774" s="353">
        <f t="shared" si="38"/>
        <v>1769</v>
      </c>
      <c r="J774" s="353">
        <f t="shared" si="39"/>
        <v>35515</v>
      </c>
    </row>
    <row r="775" spans="1:10" x14ac:dyDescent="0.2">
      <c r="A775" s="207">
        <v>1770</v>
      </c>
      <c r="B775" s="207" t="s">
        <v>1393</v>
      </c>
      <c r="C775" s="207" t="s">
        <v>96</v>
      </c>
      <c r="D775" s="207" t="s">
        <v>1394</v>
      </c>
      <c r="E775" s="281">
        <v>0</v>
      </c>
      <c r="F775" s="281" t="s">
        <v>35</v>
      </c>
      <c r="G775" s="282">
        <v>37446</v>
      </c>
      <c r="H775" s="351" t="str">
        <f t="shared" si="37"/>
        <v>Genevieve Thomas</v>
      </c>
      <c r="I775" s="353">
        <f t="shared" si="38"/>
        <v>1770</v>
      </c>
      <c r="J775" s="353">
        <f t="shared" si="39"/>
        <v>37446</v>
      </c>
    </row>
    <row r="776" spans="1:10" x14ac:dyDescent="0.2">
      <c r="A776" s="207">
        <v>1771</v>
      </c>
      <c r="B776" s="207" t="s">
        <v>187</v>
      </c>
      <c r="C776" s="207" t="s">
        <v>1105</v>
      </c>
      <c r="D776" s="207" t="s">
        <v>1395</v>
      </c>
      <c r="E776" s="281"/>
      <c r="F776" s="281"/>
      <c r="G776" s="282"/>
      <c r="H776" s="351" t="str">
        <f t="shared" si="37"/>
        <v>Steve Reynolds</v>
      </c>
      <c r="I776" s="353">
        <f t="shared" si="38"/>
        <v>1771</v>
      </c>
      <c r="J776" s="353">
        <f t="shared" si="39"/>
        <v>0</v>
      </c>
    </row>
    <row r="777" spans="1:10" x14ac:dyDescent="0.2">
      <c r="A777" s="207">
        <v>1772</v>
      </c>
      <c r="B777" s="207" t="s">
        <v>509</v>
      </c>
      <c r="C777" s="207" t="s">
        <v>53</v>
      </c>
      <c r="D777" s="207" t="s">
        <v>1396</v>
      </c>
      <c r="E777" s="281"/>
      <c r="F777" s="281"/>
      <c r="G777" s="282">
        <v>37454</v>
      </c>
      <c r="H777" s="351" t="str">
        <f t="shared" ref="H777" si="40">CONCATENATE(B777," ",C777)</f>
        <v>Rachel Brown</v>
      </c>
      <c r="I777" s="353">
        <f t="shared" ref="I777" si="41">A777</f>
        <v>1772</v>
      </c>
      <c r="J777" s="353">
        <f t="shared" ref="J777" si="42">G777</f>
        <v>37454</v>
      </c>
    </row>
  </sheetData>
  <sheetProtection password="C858" sheet="1" objects="1" scenarios="1"/>
  <sortState ref="A6:M703">
    <sortCondition ref="A6:A70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P235"/>
  <sheetViews>
    <sheetView tabSelected="1" zoomScale="75" zoomScaleNormal="75" workbookViewId="0">
      <selection activeCell="S7" sqref="S7"/>
    </sheetView>
  </sheetViews>
  <sheetFormatPr defaultRowHeight="12.75" x14ac:dyDescent="0.2"/>
  <cols>
    <col min="1" max="1" width="2.85546875" style="257" customWidth="1"/>
    <col min="2" max="2" width="10.140625" customWidth="1"/>
    <col min="3" max="3" width="10" customWidth="1"/>
    <col min="4" max="4" width="10.140625" bestFit="1" customWidth="1"/>
    <col min="5" max="5" width="7.7109375" customWidth="1"/>
    <col min="6" max="6" width="11.42578125" customWidth="1"/>
    <col min="7" max="7" width="10.140625" customWidth="1"/>
    <col min="8" max="8" width="8.28515625" customWidth="1"/>
    <col min="9" max="9" width="10.5703125" customWidth="1"/>
    <col min="10" max="10" width="7.140625" customWidth="1"/>
    <col min="11" max="11" width="9.140625" customWidth="1"/>
    <col min="12" max="12" width="8.28515625" customWidth="1"/>
    <col min="13" max="13" width="7.7109375" customWidth="1"/>
    <col min="14" max="14" width="8.5703125" customWidth="1"/>
    <col min="15" max="15" width="7.7109375" customWidth="1"/>
    <col min="16" max="16" width="8.5703125" customWidth="1"/>
    <col min="17" max="17" width="9.42578125" customWidth="1"/>
    <col min="18" max="18" width="9.5703125" customWidth="1"/>
    <col min="19" max="19" width="7.5703125" customWidth="1"/>
    <col min="20" max="20" width="9.85546875" customWidth="1"/>
    <col min="21" max="22" width="10.140625" customWidth="1"/>
    <col min="23" max="23" width="9.42578125" customWidth="1"/>
    <col min="24" max="24" width="14.42578125" customWidth="1"/>
    <col min="25" max="25" width="27.28515625" customWidth="1"/>
    <col min="26" max="26" width="41" hidden="1" customWidth="1"/>
    <col min="27" max="27" width="15.42578125" hidden="1" customWidth="1"/>
    <col min="28" max="31" width="12.7109375" hidden="1" customWidth="1"/>
    <col min="32" max="32" width="16.7109375" hidden="1" customWidth="1"/>
    <col min="33" max="33" width="13.42578125" style="1" hidden="1" customWidth="1"/>
    <col min="34" max="34" width="24.28515625" hidden="1" customWidth="1"/>
    <col min="35" max="35" width="24.28515625" style="346" hidden="1" customWidth="1"/>
    <col min="36" max="37" width="24.28515625" style="210" hidden="1" customWidth="1"/>
    <col min="38" max="38" width="16.140625" hidden="1" customWidth="1"/>
    <col min="39" max="39" width="16.42578125" style="27" hidden="1" customWidth="1"/>
    <col min="40" max="40" width="11.28515625" hidden="1" customWidth="1"/>
    <col min="41" max="41" width="8.5703125" hidden="1" customWidth="1"/>
    <col min="42" max="42" width="7" hidden="1" customWidth="1"/>
    <col min="43" max="43" width="28.140625" hidden="1" customWidth="1"/>
    <col min="44" max="44" width="8.140625" hidden="1" customWidth="1"/>
    <col min="45" max="45" width="30.140625" hidden="1" customWidth="1"/>
    <col min="46" max="46" width="9.140625" hidden="1" customWidth="1"/>
    <col min="47" max="47" width="30.140625" hidden="1" customWidth="1"/>
    <col min="48" max="48" width="26.7109375" hidden="1" customWidth="1"/>
    <col min="49" max="49" width="24.28515625" hidden="1" customWidth="1"/>
    <col min="50" max="50" width="25.140625" style="1" hidden="1" customWidth="1"/>
    <col min="51" max="51" width="23.28515625" style="1" hidden="1" customWidth="1"/>
    <col min="52" max="53" width="25.140625" style="1" hidden="1" customWidth="1"/>
    <col min="54" max="54" width="22.7109375" hidden="1" customWidth="1"/>
    <col min="55" max="55" width="20.5703125" hidden="1" customWidth="1"/>
    <col min="56" max="56" width="27.28515625" hidden="1" customWidth="1"/>
    <col min="57" max="57" width="20.5703125" hidden="1" customWidth="1"/>
    <col min="58" max="58" width="28.140625" hidden="1" customWidth="1"/>
    <col min="59" max="59" width="27.42578125" hidden="1" customWidth="1"/>
    <col min="60" max="60" width="21.85546875" hidden="1" customWidth="1"/>
    <col min="61" max="61" width="23.140625" hidden="1" customWidth="1"/>
    <col min="62" max="62" width="17.28515625" hidden="1" customWidth="1"/>
    <col min="63" max="63" width="26.7109375" hidden="1" customWidth="1"/>
    <col min="64" max="65" width="26.7109375" customWidth="1"/>
    <col min="66" max="66" width="21.42578125" style="1" customWidth="1"/>
    <col min="67" max="67" width="19" style="1" customWidth="1"/>
    <col min="68" max="68" width="28" customWidth="1"/>
    <col min="69" max="69" width="40.85546875" customWidth="1"/>
    <col min="70" max="70" width="39.5703125" customWidth="1"/>
    <col min="71" max="71" width="26" customWidth="1"/>
    <col min="72" max="79" width="9.140625" customWidth="1"/>
  </cols>
  <sheetData>
    <row r="1" spans="1:68" ht="28.5" customHeight="1" thickBot="1" x14ac:dyDescent="0.4">
      <c r="Z1" s="458"/>
      <c r="AA1" s="458"/>
      <c r="AB1" s="459" t="s">
        <v>611</v>
      </c>
      <c r="AC1" s="459"/>
      <c r="AD1" s="459"/>
      <c r="AE1" s="458"/>
      <c r="AF1" s="458"/>
      <c r="AG1" s="460"/>
      <c r="AH1" s="458"/>
      <c r="AI1" s="458"/>
      <c r="AJ1" s="461"/>
      <c r="AK1" s="461"/>
      <c r="AL1" s="458"/>
      <c r="AM1" s="462"/>
      <c r="AN1" s="458"/>
      <c r="AO1" s="458"/>
      <c r="AP1" s="458"/>
      <c r="AQ1" s="458"/>
      <c r="AR1" s="458"/>
      <c r="AS1" s="458"/>
      <c r="AT1" s="458"/>
      <c r="AU1" s="458"/>
      <c r="AV1" s="458"/>
      <c r="AW1" s="458"/>
      <c r="AX1" s="460"/>
      <c r="AY1" s="460"/>
      <c r="AZ1" s="460"/>
      <c r="BA1" s="460"/>
      <c r="BB1" s="458"/>
      <c r="BC1" s="458"/>
      <c r="BD1" s="458"/>
      <c r="BE1" s="458"/>
      <c r="BF1" s="458"/>
      <c r="BG1" s="458"/>
      <c r="BH1" s="458"/>
      <c r="BI1" s="458"/>
      <c r="BJ1" s="458"/>
      <c r="BK1" s="458"/>
    </row>
    <row r="2" spans="1:68" x14ac:dyDescent="0.2">
      <c r="B2" s="34"/>
      <c r="C2" s="35"/>
      <c r="D2" s="35"/>
      <c r="E2" s="35"/>
      <c r="F2" s="35"/>
      <c r="G2" s="35"/>
      <c r="H2" s="35"/>
      <c r="I2" s="35"/>
      <c r="J2" s="35"/>
      <c r="K2" s="35"/>
      <c r="L2" s="35"/>
      <c r="M2" s="35"/>
      <c r="N2" s="35"/>
      <c r="O2" s="35"/>
      <c r="P2" s="35"/>
      <c r="Q2" s="35"/>
      <c r="R2" s="35"/>
      <c r="S2" s="35"/>
      <c r="T2" s="35"/>
      <c r="U2" s="35"/>
      <c r="V2" s="35"/>
      <c r="W2" s="35"/>
      <c r="X2" s="35"/>
      <c r="Y2" s="36"/>
      <c r="Z2" s="36"/>
      <c r="AB2" s="341" t="s">
        <v>846</v>
      </c>
      <c r="AC2" s="342"/>
      <c r="AD2" s="342"/>
    </row>
    <row r="3" spans="1:68" ht="13.5" customHeight="1" thickBot="1" x14ac:dyDescent="0.3">
      <c r="B3" s="8"/>
      <c r="C3" s="9"/>
      <c r="D3" s="9"/>
      <c r="E3" s="9"/>
      <c r="F3" s="9"/>
      <c r="G3" s="9"/>
      <c r="H3" s="9"/>
      <c r="I3" s="477" t="s">
        <v>1018</v>
      </c>
      <c r="J3" s="477"/>
      <c r="K3" s="477"/>
      <c r="L3" s="477"/>
      <c r="M3" s="477"/>
      <c r="N3" s="477"/>
      <c r="O3" s="477"/>
      <c r="P3" s="477"/>
      <c r="Q3" s="9"/>
      <c r="R3" s="9"/>
      <c r="S3" s="9"/>
      <c r="T3" s="9"/>
      <c r="U3" s="9"/>
      <c r="V3" s="9"/>
      <c r="W3" s="9"/>
      <c r="X3" s="9"/>
      <c r="Y3" s="37"/>
      <c r="Z3" s="37"/>
      <c r="AB3" s="390" t="s">
        <v>692</v>
      </c>
      <c r="AC3" s="281"/>
      <c r="AD3" s="281"/>
      <c r="AE3" s="281"/>
      <c r="AF3" s="281"/>
      <c r="AG3" s="281"/>
      <c r="AH3" s="281"/>
      <c r="AI3" s="281"/>
    </row>
    <row r="4" spans="1:68" ht="13.5" customHeight="1" thickBot="1" x14ac:dyDescent="0.3">
      <c r="B4" s="8"/>
      <c r="C4" s="9"/>
      <c r="D4" s="9"/>
      <c r="E4" s="9"/>
      <c r="F4" s="9"/>
      <c r="G4" s="9"/>
      <c r="H4" s="9"/>
      <c r="I4" s="477" t="s">
        <v>1019</v>
      </c>
      <c r="J4" s="477"/>
      <c r="K4" s="477"/>
      <c r="L4" s="477"/>
      <c r="M4" s="477"/>
      <c r="N4" s="477"/>
      <c r="O4" s="477"/>
      <c r="P4" s="477"/>
      <c r="Q4" s="9"/>
      <c r="R4" s="9"/>
      <c r="S4" s="9"/>
      <c r="T4" s="9"/>
      <c r="U4" s="9"/>
      <c r="V4" s="9"/>
      <c r="W4" s="9"/>
      <c r="X4" s="9"/>
      <c r="Y4" s="37"/>
      <c r="Z4" s="37"/>
      <c r="AC4" s="342"/>
      <c r="AD4" s="342"/>
      <c r="AE4" s="342"/>
      <c r="AF4" s="111" t="s">
        <v>282</v>
      </c>
      <c r="AG4" s="345">
        <f>AG5</f>
        <v>43029</v>
      </c>
      <c r="AH4" s="340" t="s">
        <v>610</v>
      </c>
      <c r="AI4" s="348"/>
    </row>
    <row r="5" spans="1:68" ht="13.5" thickBot="1" x14ac:dyDescent="0.25">
      <c r="B5" s="38"/>
      <c r="C5" s="9"/>
      <c r="D5" s="9"/>
      <c r="E5" s="9"/>
      <c r="F5" s="9"/>
      <c r="G5" s="9"/>
      <c r="H5" s="9"/>
      <c r="I5" s="9"/>
      <c r="J5" s="9"/>
      <c r="K5" s="9"/>
      <c r="M5" s="9"/>
      <c r="N5" s="9"/>
      <c r="O5" s="9"/>
      <c r="P5" s="9"/>
      <c r="Q5" s="9"/>
      <c r="R5" s="9"/>
      <c r="S5" s="9"/>
      <c r="T5" s="9"/>
      <c r="U5" s="9"/>
      <c r="V5" s="9"/>
      <c r="W5" s="9"/>
      <c r="X5" s="9"/>
      <c r="Y5" s="37"/>
      <c r="Z5" s="37"/>
      <c r="AF5" s="112" t="s">
        <v>282</v>
      </c>
      <c r="AG5" s="344">
        <v>43029</v>
      </c>
      <c r="AH5" s="43"/>
      <c r="AI5" s="33"/>
      <c r="AL5" s="82" t="s">
        <v>452</v>
      </c>
    </row>
    <row r="6" spans="1:68" ht="15.75" x14ac:dyDescent="0.25">
      <c r="B6" s="39"/>
      <c r="C6" s="9"/>
      <c r="D6" s="9"/>
      <c r="E6" s="9"/>
      <c r="F6" s="9"/>
      <c r="G6" s="9"/>
      <c r="H6" s="9"/>
      <c r="I6" s="476" t="s">
        <v>804</v>
      </c>
      <c r="J6" s="476"/>
      <c r="K6" s="476"/>
      <c r="L6" s="476"/>
      <c r="M6" s="476"/>
      <c r="N6" s="476"/>
      <c r="O6" s="476"/>
      <c r="P6" s="476"/>
      <c r="Q6" s="9"/>
      <c r="R6" s="9"/>
      <c r="S6" s="9"/>
      <c r="T6" s="9"/>
      <c r="U6" s="9"/>
      <c r="V6" s="9"/>
      <c r="W6" s="9"/>
      <c r="X6" s="9"/>
      <c r="Y6" s="37"/>
      <c r="Z6" s="37"/>
      <c r="AF6" s="26">
        <f>EDATE(Q_Date,-120)</f>
        <v>39376</v>
      </c>
      <c r="AG6" s="280">
        <f>AF6</f>
        <v>39376</v>
      </c>
      <c r="AH6" s="271" t="s">
        <v>524</v>
      </c>
      <c r="AI6" s="349"/>
      <c r="AL6" s="210">
        <f>Q_Date-AG6</f>
        <v>3653</v>
      </c>
      <c r="BP6" s="271"/>
    </row>
    <row r="7" spans="1:68" ht="13.5" x14ac:dyDescent="0.25">
      <c r="B7" s="8"/>
      <c r="C7" s="9"/>
      <c r="D7" s="9"/>
      <c r="E7" s="9"/>
      <c r="F7" s="9"/>
      <c r="G7" s="9"/>
      <c r="H7" s="9"/>
      <c r="I7" s="9"/>
      <c r="J7" s="9"/>
      <c r="K7" s="9"/>
      <c r="M7" s="9"/>
      <c r="N7" s="9"/>
      <c r="O7" s="9"/>
      <c r="P7" s="9"/>
      <c r="Q7" s="9"/>
      <c r="R7" s="433" t="s">
        <v>827</v>
      </c>
      <c r="S7" s="402"/>
      <c r="T7" s="434" t="s">
        <v>828</v>
      </c>
      <c r="U7" s="402"/>
      <c r="V7" s="435" t="s">
        <v>829</v>
      </c>
      <c r="W7" s="9"/>
      <c r="X7" s="9"/>
      <c r="Y7" s="37"/>
      <c r="Z7" s="37"/>
      <c r="AB7" s="26"/>
      <c r="AC7" s="26"/>
      <c r="AD7" s="26"/>
      <c r="AE7" s="26"/>
      <c r="AF7" s="26">
        <f>EDATE($AG5,-144)+1</f>
        <v>38647</v>
      </c>
      <c r="AG7" s="280">
        <f>AF7</f>
        <v>38647</v>
      </c>
      <c r="AH7" s="81" t="s">
        <v>450</v>
      </c>
      <c r="AI7" s="350"/>
      <c r="AL7" s="210">
        <f>Q_Date-AG7</f>
        <v>4382</v>
      </c>
    </row>
    <row r="8" spans="1:68" ht="15" customHeight="1" x14ac:dyDescent="0.25">
      <c r="B8" s="38"/>
      <c r="C8" s="9"/>
      <c r="D8" s="478" t="s">
        <v>830</v>
      </c>
      <c r="E8" s="478"/>
      <c r="F8" s="478"/>
      <c r="G8" s="478"/>
      <c r="H8" s="478"/>
      <c r="I8" s="478"/>
      <c r="J8" s="478"/>
      <c r="K8" s="478"/>
      <c r="L8" s="478"/>
      <c r="M8" s="478"/>
      <c r="N8" s="478"/>
      <c r="O8" s="478"/>
      <c r="P8" s="478"/>
      <c r="Q8" s="478"/>
      <c r="R8" s="478"/>
      <c r="S8" s="478"/>
      <c r="T8" s="478"/>
      <c r="U8" s="478"/>
      <c r="V8" s="400"/>
      <c r="W8" s="9"/>
      <c r="X8" s="9"/>
      <c r="Y8" s="37"/>
      <c r="Z8" s="37"/>
      <c r="AA8" s="1"/>
      <c r="AF8" s="209">
        <f>EDATE($AF7,-24)</f>
        <v>37916</v>
      </c>
      <c r="AG8" s="280">
        <f>AF8</f>
        <v>37916</v>
      </c>
      <c r="AH8" s="81" t="s">
        <v>451</v>
      </c>
      <c r="AI8" s="350"/>
      <c r="AL8" s="210">
        <f>Q_Date-AG8</f>
        <v>5113</v>
      </c>
    </row>
    <row r="9" spans="1:68" ht="16.5" thickBot="1" x14ac:dyDescent="0.25">
      <c r="B9" s="39"/>
      <c r="C9" s="9"/>
      <c r="D9" s="9"/>
      <c r="E9" s="9"/>
      <c r="F9" s="9"/>
      <c r="G9" s="9"/>
      <c r="H9" s="9"/>
      <c r="I9" s="9"/>
      <c r="J9" s="9"/>
      <c r="K9" s="9"/>
      <c r="L9" s="9"/>
      <c r="M9" s="9"/>
      <c r="N9" s="9"/>
      <c r="O9" s="9"/>
      <c r="P9" s="9"/>
      <c r="Q9" s="9"/>
      <c r="R9" s="9"/>
      <c r="S9" s="9"/>
      <c r="T9" s="9"/>
      <c r="U9" s="9"/>
      <c r="V9" s="9"/>
      <c r="W9" s="9"/>
      <c r="X9" s="9"/>
      <c r="Y9" s="37" t="s">
        <v>281</v>
      </c>
      <c r="Z9" s="205" t="s">
        <v>807</v>
      </c>
      <c r="AB9" s="341" t="s">
        <v>1398</v>
      </c>
      <c r="AC9" s="342"/>
      <c r="AD9" s="342"/>
      <c r="AE9" s="342"/>
      <c r="AF9" s="342"/>
      <c r="AI9"/>
      <c r="AJ9"/>
      <c r="AK9"/>
      <c r="AM9"/>
      <c r="AN9" s="1"/>
      <c r="AO9" s="1"/>
      <c r="AP9" s="1"/>
      <c r="AQ9" s="1"/>
      <c r="AX9"/>
      <c r="AY9"/>
      <c r="AZ9"/>
      <c r="BA9"/>
      <c r="BD9" s="1"/>
      <c r="BE9" s="1"/>
      <c r="BN9"/>
      <c r="BO9"/>
    </row>
    <row r="10" spans="1:68" ht="20.25" customHeight="1" thickBot="1" x14ac:dyDescent="0.25">
      <c r="B10" s="513" t="s">
        <v>322</v>
      </c>
      <c r="C10" s="514"/>
      <c r="D10" s="508"/>
      <c r="E10" s="509"/>
      <c r="F10" s="513" t="s">
        <v>321</v>
      </c>
      <c r="G10" s="511"/>
      <c r="H10" s="519"/>
      <c r="I10" s="516"/>
      <c r="J10" s="516"/>
      <c r="K10" s="516"/>
      <c r="L10" s="510" t="s">
        <v>812</v>
      </c>
      <c r="M10" s="511"/>
      <c r="N10" s="515"/>
      <c r="O10" s="516"/>
      <c r="P10" s="516"/>
      <c r="Q10" s="516"/>
      <c r="R10" s="516"/>
      <c r="S10" s="510" t="s">
        <v>355</v>
      </c>
      <c r="T10" s="511"/>
      <c r="U10" s="479"/>
      <c r="V10" s="480"/>
      <c r="W10" s="480"/>
      <c r="X10" s="481"/>
      <c r="Y10" s="40" t="str">
        <f>IF(COUNTBLANK(B17:C43)=54,"",IF(D10="","Team Type Omitted",IF(AND(D10=5,COUNTBLANK(U10)=1),"County Name Omitted",IF(D10&lt;4,(IF(OR(COUNTBLANK(H10)=1,COUNTBLANK(N10)=1,COUNTBLANK(U10)=1),"Team Name Omitted or incomplete","")),IF(D10=4,IF(OR(COUNTBLANK(N10)=1,COUNTBLANK(U10)=1),"Team Name Omitted or Incomplete",""),"")))))</f>
        <v/>
      </c>
      <c r="Z10" s="205" t="s">
        <v>806</v>
      </c>
      <c r="AB10" s="463" t="s">
        <v>1023</v>
      </c>
      <c r="AC10" s="464"/>
      <c r="AD10" s="465"/>
      <c r="AE10" s="465"/>
      <c r="AF10" s="465"/>
      <c r="AG10" s="466"/>
      <c r="AI10"/>
      <c r="AJ10"/>
      <c r="AK10"/>
      <c r="AM10" s="1"/>
      <c r="AN10" s="1"/>
      <c r="AO10" s="1"/>
      <c r="AP10" s="1"/>
      <c r="AX10"/>
      <c r="AY10"/>
      <c r="AZ10"/>
      <c r="BA10"/>
      <c r="BC10" s="1"/>
      <c r="BD10" s="1"/>
      <c r="BN10"/>
      <c r="BO10"/>
    </row>
    <row r="11" spans="1:68" ht="16.5" x14ac:dyDescent="0.25">
      <c r="B11" s="506"/>
      <c r="C11" s="507"/>
      <c r="D11" s="35"/>
      <c r="E11" s="35"/>
      <c r="F11" s="35"/>
      <c r="G11" s="35"/>
      <c r="H11" s="35"/>
      <c r="I11" s="35"/>
      <c r="J11" s="35"/>
      <c r="K11" s="35"/>
      <c r="L11" s="485" t="s">
        <v>8</v>
      </c>
      <c r="M11" s="486"/>
      <c r="N11" s="486"/>
      <c r="O11" s="486"/>
      <c r="P11" s="486"/>
      <c r="Q11" s="486"/>
      <c r="R11" s="486"/>
      <c r="S11" s="486"/>
      <c r="T11" s="486"/>
      <c r="U11" s="486"/>
      <c r="V11" s="486"/>
      <c r="W11" s="486"/>
      <c r="X11" s="487"/>
      <c r="Y11" s="37"/>
      <c r="Z11" s="205" t="s">
        <v>34</v>
      </c>
      <c r="AB11" s="467" t="s">
        <v>1020</v>
      </c>
      <c r="AC11" s="468"/>
      <c r="AD11" s="468"/>
      <c r="AE11" s="468"/>
      <c r="AF11" s="468"/>
      <c r="AG11" s="469"/>
      <c r="AI11"/>
      <c r="AJ11"/>
      <c r="AK11"/>
      <c r="AM11" s="1"/>
      <c r="AN11" s="1"/>
      <c r="AO11" s="1"/>
      <c r="AP11" s="1"/>
      <c r="AX11"/>
      <c r="AY11"/>
      <c r="AZ11"/>
      <c r="BA11"/>
      <c r="BC11" s="1"/>
      <c r="BD11" s="1"/>
      <c r="BN11"/>
      <c r="BO11"/>
    </row>
    <row r="12" spans="1:68" ht="15" customHeight="1" x14ac:dyDescent="0.25">
      <c r="B12" s="517" t="s">
        <v>1</v>
      </c>
      <c r="C12" s="518"/>
      <c r="D12" s="4"/>
      <c r="E12" s="22"/>
      <c r="F12" s="2"/>
      <c r="G12" s="2"/>
      <c r="H12" s="2"/>
      <c r="I12" s="4"/>
      <c r="J12" s="4"/>
      <c r="K12" s="4"/>
      <c r="L12" s="495" t="s">
        <v>9</v>
      </c>
      <c r="M12" s="496"/>
      <c r="N12" s="496"/>
      <c r="O12" s="496"/>
      <c r="P12" s="496"/>
      <c r="Q12" s="496"/>
      <c r="R12" s="496"/>
      <c r="S12" s="496"/>
      <c r="T12" s="497"/>
      <c r="U12" s="495" t="s">
        <v>10</v>
      </c>
      <c r="V12" s="496"/>
      <c r="W12" s="496"/>
      <c r="X12" s="497"/>
      <c r="Y12" s="37"/>
      <c r="Z12" s="205" t="s">
        <v>35</v>
      </c>
      <c r="AB12" s="467" t="s">
        <v>1021</v>
      </c>
      <c r="AC12" s="468"/>
      <c r="AD12" s="468"/>
      <c r="AE12" s="468"/>
      <c r="AF12" s="468"/>
      <c r="AG12" s="469"/>
      <c r="AI12"/>
      <c r="AJ12"/>
      <c r="AK12"/>
      <c r="AM12" s="1"/>
      <c r="AN12" s="1"/>
      <c r="AO12" s="1"/>
      <c r="AP12" s="1"/>
      <c r="AX12"/>
      <c r="AY12"/>
      <c r="AZ12"/>
      <c r="BA12"/>
      <c r="BC12" s="1"/>
      <c r="BD12" s="1"/>
      <c r="BN12"/>
      <c r="BO12"/>
    </row>
    <row r="13" spans="1:68" ht="15" customHeight="1" x14ac:dyDescent="0.25">
      <c r="B13" s="491" t="s">
        <v>686</v>
      </c>
      <c r="C13" s="512"/>
      <c r="D13" s="166"/>
      <c r="E13" s="22"/>
      <c r="F13" s="449" t="s">
        <v>399</v>
      </c>
      <c r="G13" s="2"/>
      <c r="H13" s="2"/>
      <c r="I13" s="4"/>
      <c r="J13" s="4"/>
      <c r="K13" s="449" t="s">
        <v>420</v>
      </c>
      <c r="L13" s="474" t="s">
        <v>1403</v>
      </c>
      <c r="M13" s="474" t="s">
        <v>1405</v>
      </c>
      <c r="N13" s="474" t="s">
        <v>389</v>
      </c>
      <c r="O13" s="491" t="s">
        <v>14</v>
      </c>
      <c r="P13" s="493"/>
      <c r="Q13" s="475" t="s">
        <v>434</v>
      </c>
      <c r="R13" s="491" t="s">
        <v>17</v>
      </c>
      <c r="S13" s="492"/>
      <c r="T13" s="493"/>
      <c r="U13" s="500" t="s">
        <v>1399</v>
      </c>
      <c r="V13" s="501"/>
      <c r="W13" s="502" t="s">
        <v>19</v>
      </c>
      <c r="X13" s="502" t="s">
        <v>21</v>
      </c>
      <c r="Y13" s="37"/>
      <c r="Z13" s="205"/>
      <c r="AB13" s="470" t="s">
        <v>1022</v>
      </c>
      <c r="AC13" s="471"/>
      <c r="AD13" s="471"/>
      <c r="AE13" s="471"/>
      <c r="AF13" s="471"/>
      <c r="AG13" s="472"/>
      <c r="AH13" s="9"/>
      <c r="AI13"/>
      <c r="AJ13"/>
      <c r="AK13"/>
      <c r="AM13" s="1"/>
      <c r="AN13" s="1"/>
      <c r="AO13" s="1"/>
      <c r="AP13" s="1"/>
      <c r="AX13"/>
      <c r="AY13"/>
      <c r="AZ13"/>
      <c r="BA13"/>
      <c r="BC13" s="1"/>
      <c r="BD13" s="1"/>
      <c r="BN13"/>
      <c r="BO13"/>
    </row>
    <row r="14" spans="1:68" ht="30.75" customHeight="1" x14ac:dyDescent="0.25">
      <c r="B14" s="504" t="s">
        <v>687</v>
      </c>
      <c r="C14" s="505"/>
      <c r="D14" s="4"/>
      <c r="E14" s="4"/>
      <c r="F14" s="449" t="s">
        <v>419</v>
      </c>
      <c r="G14" s="449" t="s">
        <v>417</v>
      </c>
      <c r="H14" s="449"/>
      <c r="I14" s="4"/>
      <c r="J14" s="4"/>
      <c r="K14" s="449" t="s">
        <v>421</v>
      </c>
      <c r="L14" s="473" t="s">
        <v>1402</v>
      </c>
      <c r="M14" s="473" t="s">
        <v>1404</v>
      </c>
      <c r="N14" s="473" t="s">
        <v>1406</v>
      </c>
      <c r="O14" s="494" t="s">
        <v>15</v>
      </c>
      <c r="P14" s="493"/>
      <c r="Q14" s="6"/>
      <c r="R14" s="494" t="s">
        <v>18</v>
      </c>
      <c r="S14" s="492"/>
      <c r="T14" s="493"/>
      <c r="U14" s="500"/>
      <c r="V14" s="501"/>
      <c r="W14" s="503"/>
      <c r="X14" s="503"/>
      <c r="Y14" s="3"/>
      <c r="Z14" s="215" t="s">
        <v>240</v>
      </c>
      <c r="AB14" s="27"/>
      <c r="AG14"/>
      <c r="AI14"/>
      <c r="AJ14"/>
      <c r="AK14"/>
      <c r="AM14" s="1"/>
      <c r="AN14" s="1"/>
      <c r="AO14" s="1"/>
      <c r="AP14" s="1"/>
      <c r="AX14"/>
      <c r="AY14"/>
      <c r="AZ14"/>
      <c r="BA14"/>
      <c r="BC14" s="1"/>
      <c r="BD14" s="1"/>
      <c r="BN14"/>
      <c r="BO14"/>
    </row>
    <row r="15" spans="1:68" s="17" customFormat="1" ht="72" customHeight="1" x14ac:dyDescent="0.25">
      <c r="A15" s="258"/>
      <c r="B15" s="160" t="s">
        <v>22</v>
      </c>
      <c r="C15" s="449" t="s">
        <v>23</v>
      </c>
      <c r="D15" s="449" t="s">
        <v>2</v>
      </c>
      <c r="E15" s="449" t="s">
        <v>3</v>
      </c>
      <c r="F15" s="449" t="s">
        <v>416</v>
      </c>
      <c r="G15" s="449" t="s">
        <v>418</v>
      </c>
      <c r="H15" s="449" t="s">
        <v>805</v>
      </c>
      <c r="I15" s="449" t="s">
        <v>4</v>
      </c>
      <c r="J15" s="449" t="s">
        <v>5</v>
      </c>
      <c r="K15" s="449" t="s">
        <v>422</v>
      </c>
      <c r="L15" s="10" t="s">
        <v>1400</v>
      </c>
      <c r="N15" s="10" t="s">
        <v>1401</v>
      </c>
      <c r="O15" s="10" t="s">
        <v>24</v>
      </c>
      <c r="P15" s="10" t="s">
        <v>25</v>
      </c>
      <c r="Q15" s="10" t="s">
        <v>1407</v>
      </c>
      <c r="R15" s="162" t="s">
        <v>324</v>
      </c>
      <c r="S15" s="163" t="s">
        <v>325</v>
      </c>
      <c r="T15" s="164" t="s">
        <v>31</v>
      </c>
      <c r="U15" s="165" t="s">
        <v>844</v>
      </c>
      <c r="V15" s="165" t="s">
        <v>845</v>
      </c>
      <c r="W15" s="165" t="s">
        <v>415</v>
      </c>
      <c r="X15" s="450" t="str">
        <f>CONCATENATE("Class (One class only may be entered) £",'Cost Calc'!AC8," (B)")</f>
        <v>Class (One class only may be entered) £8 (B)</v>
      </c>
      <c r="Y15" s="41"/>
      <c r="Z15" s="205" t="s">
        <v>241</v>
      </c>
      <c r="AB15" s="28"/>
      <c r="AC15" s="212"/>
      <c r="AD15" s="213" t="s">
        <v>682</v>
      </c>
      <c r="AE15" s="12" t="s">
        <v>684</v>
      </c>
      <c r="AF15" s="12" t="s">
        <v>683</v>
      </c>
      <c r="AG15" s="213" t="s">
        <v>327</v>
      </c>
      <c r="AH15" s="12" t="s">
        <v>685</v>
      </c>
      <c r="AI15" s="12" t="s">
        <v>1009</v>
      </c>
      <c r="BC15" s="1"/>
      <c r="BD15" s="1"/>
      <c r="BG15" s="334"/>
    </row>
    <row r="16" spans="1:68" ht="16.5" customHeight="1" thickBot="1" x14ac:dyDescent="0.3">
      <c r="B16" s="18"/>
      <c r="C16" s="19"/>
      <c r="D16" s="19"/>
      <c r="E16" s="19"/>
      <c r="F16" s="19"/>
      <c r="G16" s="19"/>
      <c r="H16" s="19"/>
      <c r="I16" s="19"/>
      <c r="J16" s="19"/>
      <c r="K16" s="362"/>
      <c r="L16" s="273">
        <f>'Cost Calc'!O8</f>
        <v>4</v>
      </c>
      <c r="M16" s="273">
        <f>'Cost Calc'!P8</f>
        <v>4</v>
      </c>
      <c r="N16" s="273">
        <f>'Cost Calc'!Q8</f>
        <v>4</v>
      </c>
      <c r="O16" s="273">
        <f>'Cost Calc'!R8</f>
        <v>6.5</v>
      </c>
      <c r="P16" s="273">
        <f>'Cost Calc'!S8</f>
        <v>6.5</v>
      </c>
      <c r="Q16" s="273">
        <f>'Cost Calc'!T8</f>
        <v>4</v>
      </c>
      <c r="R16" s="488">
        <f>'Cost Calc'!U8</f>
        <v>10</v>
      </c>
      <c r="S16" s="489"/>
      <c r="T16" s="490"/>
      <c r="U16" s="498">
        <f>'Cost Calc'!X8</f>
        <v>4</v>
      </c>
      <c r="V16" s="499"/>
      <c r="W16" s="273">
        <f>'Cost Calc'!Z8</f>
        <v>16.5</v>
      </c>
      <c r="X16" s="10" t="str">
        <f>CONCATENATE("or £",'Cost Calc'!AB8," (A&amp;X)")</f>
        <v>or £9.5 (A&amp;X)</v>
      </c>
      <c r="Y16" s="448"/>
      <c r="Z16" s="205" t="s">
        <v>242</v>
      </c>
      <c r="AA16" s="219" t="s">
        <v>457</v>
      </c>
      <c r="AB16" s="220" t="s">
        <v>456</v>
      </c>
      <c r="AC16" s="221" t="s">
        <v>270</v>
      </c>
      <c r="AD16" s="222" t="s">
        <v>328</v>
      </c>
      <c r="AE16" s="223"/>
      <c r="AF16" s="223"/>
      <c r="AG16" s="222" t="s">
        <v>328</v>
      </c>
      <c r="AH16" s="223"/>
      <c r="AI16" s="223"/>
      <c r="AJ16" s="224" t="s">
        <v>271</v>
      </c>
      <c r="AK16" s="224" t="s">
        <v>272</v>
      </c>
      <c r="AL16" s="268" t="s">
        <v>583</v>
      </c>
      <c r="AM16" s="275" t="s">
        <v>580</v>
      </c>
      <c r="AN16" s="275" t="s">
        <v>575</v>
      </c>
      <c r="AO16" s="275" t="s">
        <v>576</v>
      </c>
      <c r="AP16" s="275" t="s">
        <v>577</v>
      </c>
      <c r="AQ16" s="268" t="s">
        <v>578</v>
      </c>
      <c r="AR16" s="268" t="s">
        <v>581</v>
      </c>
      <c r="AS16" s="268" t="s">
        <v>582</v>
      </c>
      <c r="AT16" s="225" t="s">
        <v>326</v>
      </c>
      <c r="AU16" s="225" t="s">
        <v>449</v>
      </c>
      <c r="AV16" s="224" t="s">
        <v>274</v>
      </c>
      <c r="AW16" s="225" t="s">
        <v>398</v>
      </c>
      <c r="AX16" s="224" t="s">
        <v>275</v>
      </c>
      <c r="AY16" s="268" t="s">
        <v>1410</v>
      </c>
      <c r="AZ16" s="268" t="s">
        <v>1411</v>
      </c>
      <c r="BA16" s="268" t="s">
        <v>470</v>
      </c>
      <c r="BB16" s="268" t="s">
        <v>837</v>
      </c>
      <c r="BC16" s="355" t="s">
        <v>273</v>
      </c>
      <c r="BD16" s="355" t="s">
        <v>276</v>
      </c>
      <c r="BE16" s="356" t="s">
        <v>277</v>
      </c>
      <c r="BF16" s="356" t="s">
        <v>307</v>
      </c>
      <c r="BG16" s="354"/>
      <c r="BH16" s="358" t="s">
        <v>613</v>
      </c>
      <c r="BN16"/>
      <c r="BO16"/>
    </row>
    <row r="17" spans="1:67" ht="13.5" x14ac:dyDescent="0.25">
      <c r="A17" s="259"/>
      <c r="B17" s="54"/>
      <c r="C17" s="55"/>
      <c r="D17" s="56"/>
      <c r="E17" s="102"/>
      <c r="F17" s="58"/>
      <c r="G17" s="272"/>
      <c r="H17" s="272"/>
      <c r="I17" s="57"/>
      <c r="J17" s="57"/>
      <c r="K17" s="57"/>
      <c r="L17" s="57"/>
      <c r="M17" s="57"/>
      <c r="N17" s="57"/>
      <c r="O17" s="57"/>
      <c r="P17" s="57"/>
      <c r="Q17" s="57"/>
      <c r="R17" s="363"/>
      <c r="S17" s="364"/>
      <c r="T17" s="365"/>
      <c r="U17" s="401"/>
      <c r="V17" s="405"/>
      <c r="W17" s="57"/>
      <c r="X17" s="108"/>
      <c r="Y17" s="37" t="str">
        <f>CONCATENATE(BG17,AB17,AJ17,AL17,AM17,AN17,AO17,AP17,AR17,AS17,AT17,AU17,AV17,AW17,AX17,BE17,BF17,AK17,AQ17,BA17)</f>
        <v/>
      </c>
      <c r="Z17" s="205" t="s">
        <v>243</v>
      </c>
      <c r="AA17" t="str">
        <f t="shared" ref="AA17:AA43" si="0">CHOOSE((1+COUNTBLANK(B17:C17)),AA$16,AB$16,"No Entrant")</f>
        <v>No Entrant</v>
      </c>
      <c r="AB17" s="27" t="str">
        <f t="shared" ref="AB17" si="1">IF(AA17=AB$16,CONCATENATE(AA17,"; "),"")</f>
        <v/>
      </c>
      <c r="AC17" s="211" t="str">
        <f t="shared" ref="AC17" si="2">IF(AA17&lt;&gt;"No Entrant",M58,"")</f>
        <v/>
      </c>
      <c r="AD17" s="211" t="str">
        <f t="shared" ref="AD17" si="3">IF(AND(AC17&gt;=18,COUNTBLANK(I17)=0),I17,"")</f>
        <v/>
      </c>
      <c r="AE17" s="27" t="str">
        <f t="shared" ref="AE17" si="4">CONCATENATE(Z17," ",COUNTIF(AD$17:AD$43,Z17))</f>
        <v>SA 0</v>
      </c>
      <c r="AF17" s="27" t="str">
        <f t="shared" ref="AF17" si="5">IF(VALUE(MID(AE17,4,2))&gt;1,CONCATENATE(LEFT(AE17,3),"","has too many over 25s; "),"")</f>
        <v/>
      </c>
      <c r="AG17" s="211" t="str">
        <f t="shared" ref="AG17" si="6">IF(AND(AC17&gt;=25,COUNTBLANK(I17)=0),I17,"")</f>
        <v/>
      </c>
      <c r="AH17" s="27" t="str">
        <f t="shared" ref="AH17" si="7">CONCATENATE(Z17," ",COUNTIF(AG$17:AG$43,Z17))</f>
        <v>SA 0</v>
      </c>
      <c r="AI17" s="27" t="str">
        <f t="shared" ref="AI17" si="8">IF(VALUE(MID(AH17,4,2))&gt;1,CONCATENATE(LEFT(AH17,3),"","has too many over 18s; "),"")</f>
        <v/>
      </c>
      <c r="AJ17" t="str">
        <f t="shared" ref="AJ17" si="9">IF(AND(COUNTBLANK(D17)=1,AA17&lt;&gt;"No Entrant",AC17&gt;17.999,COUNTBLANK(F17)=1),"Assumed adult without Member No; ",IF(AND(AA17&lt;&gt;"No Entrant",AC17&gt;17.999,COUNTBLANK(F17)=1),"Adult without Member No; ",""))</f>
        <v/>
      </c>
      <c r="AK17" t="str">
        <f>IF(OR(G17="",G17="N",G17="Y"),"",IF(VLOOKUP(G17,LastYrList!A:D,2,FALSE)="Did Not Shoot","!!",IF(OR(VLOOKUP(G17,LastYrList!A:D,2,FALSE)&lt;&gt;'Entrant Data'!E4,VLOOKUP(G17,LastYrList!A:D,3,FALSE)&lt;&gt;'Entrant Data'!F4),CONCATENATE("Last yr entrant ",G17," was ",VLOOKUP(G17,LastYrList!A:D,2,FALSE)," ",VLOOKUP(G17,LastYrList!A:D,3,FALSE)," of ",VLOOKUP(G17,LastYrList!A:D,4,FALSE),". Check spelling etc. &amp; Proceed only if same person!"),"")))</f>
        <v/>
      </c>
      <c r="AL17" t="str">
        <f>IF(ISERROR(FIND("!!",AK17)),"",AL$16)</f>
        <v/>
      </c>
      <c r="AM17" t="str">
        <f t="shared" ref="AM17" si="10">IF(AND(AA17&lt;&gt;"No Entrant",AC17&lt;16,COUNTBLANK(J17)=0),"Too young to be RO","")</f>
        <v/>
      </c>
      <c r="AN17" t="str">
        <f>IF(OR(G17="y",G17="n",G17="",AK17&lt;&gt;""),"",IF(D17=VLOOKUP(G17,LastYrList!A:G,7,FALSE),"",IF(VLOOKUP(G17,LastYrList!A:G,7,FALSE)="","","Check Date of Birth (Inconsistent with last year); ")))</f>
        <v/>
      </c>
      <c r="AO17" t="str">
        <f>IF(OR(G17="",(ISERR(VALUE(G17)))),"",IF(F17=VLOOKUP(G17,LastYrList!A:G,5,FALSE),"",IF(VLOOKUP(G17,LastYrList!A:G,5,FALSE)="","","Check Member &amp; Last year Comp No. (Inconsistency with last year); ")))</f>
        <v/>
      </c>
      <c r="AP17" t="str">
        <f>IF(OR(G17="",G17="y",G17="n"),"",IF(E17=VLOOKUP(G17,LastYrList!A:G,6,FALSE),"","Check Gender (Inconsistent with last year); "))</f>
        <v/>
      </c>
      <c r="AQ17" t="str">
        <f t="shared" ref="AQ17" si="11">IF(AND(AA17&lt;&gt;"No Entrant",AC17&lt;18,COUNTBLANK(J17)=0,COUNTBLANK(AM17)=1),"Warning - Young RO. Check!","")</f>
        <v/>
      </c>
      <c r="AR17" t="str">
        <f t="shared" ref="AR17" si="12">IF(AND($AA17&lt;&gt;"No Entrant",$AC17&lt;18,COUNTBLANK(K17)=0,COUNTBLANK($J17)=1),"Must be a Main Event entrant","")</f>
        <v/>
      </c>
      <c r="AS17" t="str">
        <f t="shared" ref="AS17" si="13">IF(AND(COUNTBLANK(B17:C17)&gt;0,COUNTBLANK(E17:X17)&lt;20),"Data without entrant Name; ","")</f>
        <v/>
      </c>
      <c r="AT17" t="str">
        <f t="shared" ref="AT17" si="14">IF(AND(COUNTBLANK(R17)=1,COUNTBLANK(S17:T17)&lt;2),AT$16,"")</f>
        <v/>
      </c>
      <c r="AU17" t="str">
        <f t="shared" ref="AU17" si="15">IF(AND(COUNTBLANK(I17)=0,K17="N"),AU$16,"")</f>
        <v/>
      </c>
      <c r="AV17" t="str">
        <f t="shared" ref="AV17" si="16">IF(AND($AA17&lt;&gt;"No Entrant",(Q_Date-D17&lt;5112),COUNTBLANK(W17)=0),"Too Young for Fullbore; ","")</f>
        <v/>
      </c>
      <c r="AW17" t="str">
        <f t="shared" ref="AW17" si="17">IF(AND(COUNTBLANK(J17)=1,K17="N",COUNTBLANK(L17:R17)+COUNTBLANK(U17:X17)=11),AW$16,"")</f>
        <v/>
      </c>
      <c r="AX17" t="str">
        <f t="shared" ref="AX17:AX43" si="18">IF(AND($AA17&lt;&gt;"No Entrant",(Q_Date-$D17&lt;4382),COUNTBLANK($X17)=0),"Too Young for Small-bore; ","")</f>
        <v/>
      </c>
      <c r="AY17" t="str">
        <f t="shared" ref="AY17" si="19">IF(AND($AA17&lt;&gt;"No Entrant",(Q_Date-$D17=AL$7),COUNTBLANK($X17)=0),AY$16,"")</f>
        <v/>
      </c>
      <c r="AZ17" t="str">
        <f t="shared" ref="AZ17" si="20">IF(AND($AA17&lt;&gt;"No Entrant",(Q_Date-$D17=AL$8),COUNTBLANK($W17)=0),AZ$16,"")</f>
        <v/>
      </c>
      <c r="BA17" t="str">
        <f>IF(AND(K17&lt;&gt;"N",(2*(1-COUNTBLANK(Q17))+1-COUNTBLANK(V17)+2*(1-COUNTBLANK(W17))+1-COUNTBLANK(X17)&gt;3)),"Too many Daylight-only Extra events",IF(2*(1-COUNTBLANK(Q17))+1-COUNTBLANK(V17)+2*(1-COUNTBLANK(W17))+1-COUNTBLANK(X17)&gt;5,"Too many Daylight-only Extra events",""))</f>
        <v/>
      </c>
      <c r="BB17" t="str">
        <f t="shared" ref="BB17" si="21">IF(OR(H17="h",H17="H")," HO! ","")</f>
        <v/>
      </c>
      <c r="BC17" s="347" t="str">
        <f t="shared" ref="BC17" si="22">IF(AA17="No Entrant","",IF(COUNTBLANK(J17)=1,5,IF(OR(K17="X",K17="x"),2,IF(OR(K17="N",K17="n"),5,1))))</f>
        <v/>
      </c>
      <c r="BD17" s="347">
        <f t="shared" ref="BD17" si="23">(5-COUNTBLANK(L17:P17))+(2*(1-COUNTBLANK(Q17)))+(2*(1-COUNTBLANK(R17)))+(1-COUNTBLANK(V17))+(2*(1-COUNTBLANK(W17)))+(1-COUNTBLANK(X17))</f>
        <v>0</v>
      </c>
      <c r="BE17" s="346" t="str">
        <f t="shared" ref="BE17" si="24">IF(BD17&gt;BC17,"Too Many Extra Events","")</f>
        <v/>
      </c>
      <c r="BF17" s="346" t="str">
        <f t="shared" ref="BF17" si="25">IF(AND($AA17&lt;&gt;"No Entrant",(Q_Date-D17&gt;5112),LEFT(I17,1)="J"),"Too Old for Junior Connaught","")</f>
        <v/>
      </c>
      <c r="BG17" s="206" t="str">
        <f>IF(ISNA(VLOOKUP(CONCATENATE('Entrant Data'!E4," ",'Entrant Data'!F4),LastYrList!$H:$J,2,FALSE)),"",IF(AND(OR(T(G17)&lt;&gt;"",G17=0),D17=VLOOKUP(CONCATENATE('Entrant Data'!E4," ",'Entrant Data'!F4),LastYrList!$H:$J,3,FALSE)),CONCATENATE('Entrant Data'!E4," ",'Entrant Data'!F4," was No. ",(VLOOKUP(CONCATENATE('Entrant Data'!E4," ",'Entrant Data'!F4),LastYrList!$H:$J,2,FALSE))," last year. "),""))</f>
        <v/>
      </c>
      <c r="BH17" s="186" t="str">
        <f>CONCATENATE(AK17,AQ17,AY17,AZ17,BB17)</f>
        <v/>
      </c>
      <c r="BN17"/>
      <c r="BO17"/>
    </row>
    <row r="18" spans="1:67" ht="13.5" x14ac:dyDescent="0.25">
      <c r="A18" s="259">
        <v>18</v>
      </c>
      <c r="B18" s="60"/>
      <c r="C18" s="61"/>
      <c r="D18" s="62"/>
      <c r="E18" s="103"/>
      <c r="F18" s="63"/>
      <c r="G18" s="105"/>
      <c r="H18" s="105"/>
      <c r="I18" s="59"/>
      <c r="J18" s="59"/>
      <c r="K18" s="59"/>
      <c r="L18" s="59"/>
      <c r="M18" s="59"/>
      <c r="N18" s="59"/>
      <c r="O18" s="59"/>
      <c r="P18" s="59"/>
      <c r="Q18" s="59"/>
      <c r="R18" s="103"/>
      <c r="S18" s="59"/>
      <c r="T18" s="105"/>
      <c r="U18" s="402"/>
      <c r="V18" s="103"/>
      <c r="W18" s="59"/>
      <c r="X18" s="109"/>
      <c r="Y18" s="37" t="str">
        <f t="shared" ref="Y18:Y43" si="26">CONCATENATE(BG18,AB18,AJ18,AL18,AM18,AN18,AO18,AP18,AR18,AS18,AT18,AU18,AV18,AW18,AX18,BE18,BF18,AK18,AQ18,BA18)</f>
        <v/>
      </c>
      <c r="Z18" s="205" t="s">
        <v>250</v>
      </c>
      <c r="AA18" t="str">
        <f t="shared" ref="AA18:AA43" si="27">CHOOSE((1+COUNTBLANK(B18:C18)),AA$16,AB$16,"No Entrant")</f>
        <v>No Entrant</v>
      </c>
      <c r="AB18" s="27" t="str">
        <f t="shared" ref="AB18:AB43" si="28">IF(AA18=AB$16,CONCATENATE(AA18,"; "),"")</f>
        <v/>
      </c>
      <c r="AC18" s="211" t="str">
        <f t="shared" ref="AC18:AC43" si="29">IF(AA18&lt;&gt;"No Entrant",M59,"")</f>
        <v/>
      </c>
      <c r="AD18" s="211" t="str">
        <f t="shared" ref="AD18:AD43" si="30">IF(AND(AC18&gt;=18,COUNTBLANK(I18)=0),I18,"")</f>
        <v/>
      </c>
      <c r="AE18" s="27" t="str">
        <f t="shared" ref="AE18:AE43" si="31">CONCATENATE(Z18," ",COUNTIF(AD$17:AD$43,Z18))</f>
        <v>SB 0</v>
      </c>
      <c r="AF18" s="27" t="str">
        <f t="shared" ref="AF18:AF43" si="32">IF(VALUE(MID(AE18,4,2))&gt;1,CONCATENATE(LEFT(AE18,3),"","has too many over 25s; "),"")</f>
        <v/>
      </c>
      <c r="AG18" s="211" t="str">
        <f t="shared" ref="AG18:AG43" si="33">IF(AND(AC18&gt;=25,COUNTBLANK(I18)=0),I18,"")</f>
        <v/>
      </c>
      <c r="AH18" s="27" t="str">
        <f t="shared" ref="AH18:AH43" si="34">CONCATENATE(Z18," ",COUNTIF(AG$17:AG$43,Z18))</f>
        <v>SB 0</v>
      </c>
      <c r="AI18" s="27" t="str">
        <f t="shared" ref="AI18:AI43" si="35">IF(VALUE(MID(AH18,4,2))&gt;1,CONCATENATE(LEFT(AH18,3),"","has too many over 18s; "),"")</f>
        <v/>
      </c>
      <c r="AJ18" t="str">
        <f t="shared" ref="AJ18:AJ43" si="36">IF(AND(COUNTBLANK(D18)=1,AA18&lt;&gt;"No Entrant",AC18&gt;17.999,COUNTBLANK(F18)=1),"Assumed adult without Member No; ",IF(AND(AA18&lt;&gt;"No Entrant",AC18&gt;17.999,COUNTBLANK(F18)=1),"Adult without Member No; ",""))</f>
        <v/>
      </c>
      <c r="AK18" t="str">
        <f>IF(OR(G18="",G18="N",G18="Y"),"",IF(VLOOKUP(G18,LastYrList!A:D,2,FALSE)="Did Not Shoot","!!",IF(OR(VLOOKUP(G18,LastYrList!A:D,2,FALSE)&lt;&gt;'Entrant Data'!E5,VLOOKUP(G18,LastYrList!A:D,3,FALSE)&lt;&gt;'Entrant Data'!F5),CONCATENATE("Last yr entrant ",G18," was ",VLOOKUP(G18,LastYrList!A:D,2,FALSE)," ",VLOOKUP(G18,LastYrList!A:D,3,FALSE)," of ",VLOOKUP(G18,LastYrList!A:D,4,FALSE),". Check spelling etc. &amp; Proceed only if same person!"),"")))</f>
        <v/>
      </c>
      <c r="AL18" t="str">
        <f t="shared" ref="AL18:AL43" si="37">IF(ISERROR(FIND("!!",AK18)),"",AL$16)</f>
        <v/>
      </c>
      <c r="AM18" t="str">
        <f t="shared" ref="AM18:AM43" si="38">IF(AND(AA18&lt;&gt;"No Entrant",AC18&lt;16,COUNTBLANK(J18)=0),"Too young to be RO","")</f>
        <v/>
      </c>
      <c r="AN18" t="str">
        <f>IF(OR(G18="y",G18="n",G18="",AK18&lt;&gt;""),"",IF(D18=VLOOKUP(G18,LastYrList!A:G,7,FALSE),"",IF(VLOOKUP(G18,LastYrList!A:G,7,FALSE)="","","Check Date of Birth (Inconsistent with last year); ")))</f>
        <v/>
      </c>
      <c r="AO18" t="str">
        <f>IF(OR(G18="",(ISERR(VALUE(G18)))),"",IF(F18=VLOOKUP(G18,LastYrList!A:G,5,FALSE),"",IF(VLOOKUP(G18,LastYrList!A:G,5,FALSE)="","","Check Member &amp; Last year Comp No. (Inconsistency with last year); ")))</f>
        <v/>
      </c>
      <c r="AP18" t="str">
        <f>IF(OR(G18="",G18="y",G18="n"),"",IF(E18=VLOOKUP(G18,LastYrList!A:G,6,FALSE),"","Check Gender (Inconsistent with last year); "))</f>
        <v/>
      </c>
      <c r="AQ18" t="str">
        <f t="shared" ref="AQ18:AQ43" si="39">IF(AND(AA18&lt;&gt;"No Entrant",AC18&lt;18,COUNTBLANK(J18)=0,COUNTBLANK(AM18)=1),"Warning - Young RO. Check!","")</f>
        <v/>
      </c>
      <c r="AR18" t="str">
        <f t="shared" ref="AR18:AR43" si="40">IF(AND($AA18&lt;&gt;"No Entrant",$AC18&lt;18,COUNTBLANK(K18)=0,COUNTBLANK($J18)=1),"Must be a Main Event entrant","")</f>
        <v/>
      </c>
      <c r="AS18" t="str">
        <f t="shared" ref="AS18:AS43" si="41">IF(AND(COUNTBLANK(B18:C18)&gt;0,COUNTBLANK(E18:X18)&lt;20),"Data without entrant Name; ","")</f>
        <v/>
      </c>
      <c r="AT18" t="str">
        <f t="shared" ref="AT18:AT43" si="42">IF(AND(COUNTBLANK(R18)=1,COUNTBLANK(S18:T18)&lt;2),AT$16,"")</f>
        <v/>
      </c>
      <c r="AU18" t="str">
        <f t="shared" ref="AU18:AU43" si="43">IF(AND(COUNTBLANK(I18)=0,K18="N"),AU$16,"")</f>
        <v/>
      </c>
      <c r="AV18" t="str">
        <f t="shared" ref="AV18:AV43" si="44">IF(AND($AA18&lt;&gt;"No Entrant",(Q_Date-D18&lt;5112),COUNTBLANK(W18)=0),"Too Young for Fullbore; ","")</f>
        <v/>
      </c>
      <c r="AW18" t="str">
        <f t="shared" ref="AW18:AW43" si="45">IF(AND(COUNTBLANK(J18)=1,K18="N",COUNTBLANK(L18:R18)+COUNTBLANK(U18:X18)=11),AW$16,"")</f>
        <v/>
      </c>
      <c r="AX18" t="str">
        <f t="shared" si="18"/>
        <v/>
      </c>
      <c r="AY18" t="str">
        <f t="shared" ref="AY18:AY43" si="46">IF(AND($AA18&lt;&gt;"No Entrant",(Q_Date-$D18=AL$7),COUNTBLANK($X18)=0),AY$16,"")</f>
        <v/>
      </c>
      <c r="AZ18" t="str">
        <f t="shared" ref="AZ18:AZ43" si="47">IF(AND($AA18&lt;&gt;"No Entrant",(Q_Date-$D18=AL$8),COUNTBLANK($W18)=0),AZ$16,"")</f>
        <v/>
      </c>
      <c r="BA18" t="str">
        <f t="shared" ref="BA18:BA43" si="48">IF(AND(K18&lt;&gt;"N",(2*(1-COUNTBLANK(Q18))+1-COUNTBLANK(V18)+2*(1-COUNTBLANK(W18))+1-COUNTBLANK(X18)&gt;3)),"Too many Daylight-only Extra events",IF(2*(1-COUNTBLANK(Q18))+1-COUNTBLANK(V18)+2*(1-COUNTBLANK(W18))+1-COUNTBLANK(X18)&gt;5,"Too many Daylight-only Extra events",""))</f>
        <v/>
      </c>
      <c r="BB18" t="str">
        <f t="shared" ref="BB18:BB43" si="49">IF(OR(H18="h",H18="H")," HO! ","")</f>
        <v/>
      </c>
      <c r="BC18" s="347" t="str">
        <f t="shared" ref="BC18:BC43" si="50">IF(AA18="No Entrant","",IF(COUNTBLANK(J18)=1,5,IF(OR(K18="X",K18="x"),2,IF(OR(K18="N",K18="n"),5,1))))</f>
        <v/>
      </c>
      <c r="BD18" s="347">
        <f t="shared" ref="BD18:BD43" si="51">(5-COUNTBLANK(L18:P18))+(2*(1-COUNTBLANK(Q18)))+(2*(1-COUNTBLANK(R18)))+(1-COUNTBLANK(V18))+(2*(1-COUNTBLANK(W18)))+(1-COUNTBLANK(X18))</f>
        <v>0</v>
      </c>
      <c r="BE18" s="346" t="str">
        <f t="shared" ref="BE18:BE43" si="52">IF(BD18&gt;BC18,"Too Many Extra Events","")</f>
        <v/>
      </c>
      <c r="BF18" s="346" t="str">
        <f t="shared" ref="BF18:BF43" si="53">IF(AND($AA18&lt;&gt;"No Entrant",(Q_Date-D18&gt;5112),LEFT(I18,1)="J"),"Too Old for Junior Connaught","")</f>
        <v/>
      </c>
      <c r="BG18" s="206" t="str">
        <f>IF(ISNA(VLOOKUP(CONCATENATE('Entrant Data'!E5," ",'Entrant Data'!F5),LastYrList!$H:$J,2,FALSE)),"",IF(AND(OR(T(G18)&lt;&gt;"",G18=0),D18=VLOOKUP(CONCATENATE('Entrant Data'!E5," ",'Entrant Data'!F5),LastYrList!$H:$J,3,FALSE)),CONCATENATE('Entrant Data'!E5," ",'Entrant Data'!F5," was No. ",(VLOOKUP(CONCATENATE('Entrant Data'!E5," ",'Entrant Data'!F5),LastYrList!$H:$J,2,FALSE))," last year. "),""))</f>
        <v/>
      </c>
      <c r="BH18" s="186" t="str">
        <f t="shared" ref="BH18:BH43" si="54">CONCATENATE(AK18,AQ18,AY18,AZ18,BB18)</f>
        <v/>
      </c>
      <c r="BN18"/>
      <c r="BO18"/>
    </row>
    <row r="19" spans="1:67" ht="13.5" x14ac:dyDescent="0.25">
      <c r="A19" s="259">
        <v>19</v>
      </c>
      <c r="B19" s="60"/>
      <c r="C19" s="61"/>
      <c r="D19" s="62"/>
      <c r="E19" s="103"/>
      <c r="F19" s="63"/>
      <c r="G19" s="105"/>
      <c r="H19" s="105"/>
      <c r="I19" s="59"/>
      <c r="J19" s="59"/>
      <c r="K19" s="59"/>
      <c r="L19" s="59"/>
      <c r="M19" s="59"/>
      <c r="N19" s="59"/>
      <c r="O19" s="59"/>
      <c r="P19" s="59"/>
      <c r="Q19" s="59"/>
      <c r="R19" s="103"/>
      <c r="S19" s="59"/>
      <c r="T19" s="105"/>
      <c r="U19" s="402"/>
      <c r="V19" s="103"/>
      <c r="W19" s="59"/>
      <c r="X19" s="109"/>
      <c r="Y19" s="37" t="str">
        <f t="shared" si="26"/>
        <v/>
      </c>
      <c r="Z19" s="205" t="s">
        <v>251</v>
      </c>
      <c r="AA19" t="str">
        <f t="shared" si="27"/>
        <v>No Entrant</v>
      </c>
      <c r="AB19" s="27" t="str">
        <f t="shared" si="28"/>
        <v/>
      </c>
      <c r="AC19" s="211" t="str">
        <f t="shared" si="29"/>
        <v/>
      </c>
      <c r="AD19" s="211" t="str">
        <f t="shared" si="30"/>
        <v/>
      </c>
      <c r="AE19" s="27" t="str">
        <f t="shared" si="31"/>
        <v>SC 0</v>
      </c>
      <c r="AF19" s="27" t="str">
        <f t="shared" si="32"/>
        <v/>
      </c>
      <c r="AG19" s="211" t="str">
        <f t="shared" si="33"/>
        <v/>
      </c>
      <c r="AH19" s="27" t="str">
        <f t="shared" si="34"/>
        <v>SC 0</v>
      </c>
      <c r="AI19" s="27" t="str">
        <f t="shared" si="35"/>
        <v/>
      </c>
      <c r="AJ19" t="str">
        <f t="shared" si="36"/>
        <v/>
      </c>
      <c r="AK19" t="str">
        <f>IF(OR(G19="",G19="N",G19="Y"),"",IF(VLOOKUP(G19,LastYrList!A:D,2,FALSE)="Did Not Shoot","!!",IF(OR(VLOOKUP(G19,LastYrList!A:D,2,FALSE)&lt;&gt;'Entrant Data'!E6,VLOOKUP(G19,LastYrList!A:D,3,FALSE)&lt;&gt;'Entrant Data'!F6),CONCATENATE("Last yr entrant ",G19," was ",VLOOKUP(G19,LastYrList!A:D,2,FALSE)," ",VLOOKUP(G19,LastYrList!A:D,3,FALSE)," of ",VLOOKUP(G19,LastYrList!A:D,4,FALSE),". Check spelling etc. &amp; Proceed only if same person!"),"")))</f>
        <v/>
      </c>
      <c r="AL19" t="str">
        <f t="shared" si="37"/>
        <v/>
      </c>
      <c r="AM19" t="str">
        <f t="shared" si="38"/>
        <v/>
      </c>
      <c r="AN19" t="str">
        <f>IF(OR(G19="y",G19="n",G19="",AK19&lt;&gt;""),"",IF(D19=VLOOKUP(G19,LastYrList!A:G,7,FALSE),"",IF(VLOOKUP(G19,LastYrList!A:G,7,FALSE)="","","Check Date of Birth (Inconsistent with last year); ")))</f>
        <v/>
      </c>
      <c r="AO19" t="str">
        <f>IF(OR(G19="",(ISERR(VALUE(G19)))),"",IF(F19=VLOOKUP(G19,LastYrList!A:G,5,FALSE),"",IF(VLOOKUP(G19,LastYrList!A:G,5,FALSE)="","","Check Member &amp; Last year Comp No. (Inconsistency with last year); ")))</f>
        <v/>
      </c>
      <c r="AP19" t="str">
        <f>IF(OR(G19="",G19="y",G19="n"),"",IF(E19=VLOOKUP(G19,LastYrList!A:G,6,FALSE),"","Check Gender (Inconsistent with last year); "))</f>
        <v/>
      </c>
      <c r="AQ19" t="str">
        <f t="shared" si="39"/>
        <v/>
      </c>
      <c r="AR19" t="str">
        <f t="shared" si="40"/>
        <v/>
      </c>
      <c r="AS19" t="str">
        <f t="shared" si="41"/>
        <v/>
      </c>
      <c r="AT19" t="str">
        <f t="shared" si="42"/>
        <v/>
      </c>
      <c r="AU19" t="str">
        <f t="shared" si="43"/>
        <v/>
      </c>
      <c r="AV19" t="str">
        <f t="shared" si="44"/>
        <v/>
      </c>
      <c r="AW19" t="str">
        <f t="shared" si="45"/>
        <v/>
      </c>
      <c r="AX19" t="str">
        <f t="shared" si="18"/>
        <v/>
      </c>
      <c r="AY19" t="str">
        <f t="shared" si="46"/>
        <v/>
      </c>
      <c r="AZ19" t="str">
        <f t="shared" si="47"/>
        <v/>
      </c>
      <c r="BA19" t="str">
        <f t="shared" si="48"/>
        <v/>
      </c>
      <c r="BB19" t="str">
        <f t="shared" si="49"/>
        <v/>
      </c>
      <c r="BC19" s="347" t="str">
        <f t="shared" si="50"/>
        <v/>
      </c>
      <c r="BD19" s="347">
        <f t="shared" si="51"/>
        <v>0</v>
      </c>
      <c r="BE19" s="346" t="str">
        <f t="shared" si="52"/>
        <v/>
      </c>
      <c r="BF19" s="346" t="str">
        <f t="shared" si="53"/>
        <v/>
      </c>
      <c r="BG19" s="206" t="str">
        <f>IF(ISNA(VLOOKUP(CONCATENATE('Entrant Data'!E6," ",'Entrant Data'!F6),LastYrList!$H:$J,2,FALSE)),"",IF(AND(OR(T(G19)&lt;&gt;"",G19=0),D19=VLOOKUP(CONCATENATE('Entrant Data'!E6," ",'Entrant Data'!F6),LastYrList!$H:$J,3,FALSE)),CONCATENATE('Entrant Data'!E6," ",'Entrant Data'!F6," was No. ",(VLOOKUP(CONCATENATE('Entrant Data'!E6," ",'Entrant Data'!F6),LastYrList!$H:$J,2,FALSE))," last year. "),""))</f>
        <v/>
      </c>
      <c r="BH19" s="186" t="str">
        <f t="shared" si="54"/>
        <v/>
      </c>
      <c r="BN19"/>
      <c r="BO19"/>
    </row>
    <row r="20" spans="1:67" ht="13.5" x14ac:dyDescent="0.25">
      <c r="A20" s="259">
        <v>20</v>
      </c>
      <c r="B20" s="60"/>
      <c r="C20" s="61"/>
      <c r="D20" s="62"/>
      <c r="E20" s="103"/>
      <c r="F20" s="63"/>
      <c r="G20" s="105"/>
      <c r="H20" s="105"/>
      <c r="I20" s="59"/>
      <c r="J20" s="59"/>
      <c r="K20" s="59"/>
      <c r="L20" s="59"/>
      <c r="M20" s="59"/>
      <c r="N20" s="59"/>
      <c r="O20" s="59"/>
      <c r="P20" s="59"/>
      <c r="Q20" s="59"/>
      <c r="R20" s="103"/>
      <c r="S20" s="59"/>
      <c r="T20" s="105"/>
      <c r="U20" s="402"/>
      <c r="V20" s="103"/>
      <c r="W20" s="59"/>
      <c r="X20" s="109"/>
      <c r="Y20" s="37" t="str">
        <f t="shared" si="26"/>
        <v/>
      </c>
      <c r="Z20" s="205" t="s">
        <v>252</v>
      </c>
      <c r="AA20" t="str">
        <f t="shared" si="27"/>
        <v>No Entrant</v>
      </c>
      <c r="AB20" s="27" t="str">
        <f t="shared" si="28"/>
        <v/>
      </c>
      <c r="AC20" s="211" t="str">
        <f t="shared" si="29"/>
        <v/>
      </c>
      <c r="AD20" s="211" t="str">
        <f t="shared" si="30"/>
        <v/>
      </c>
      <c r="AE20" s="27" t="str">
        <f t="shared" si="31"/>
        <v>SD 0</v>
      </c>
      <c r="AF20" s="27" t="str">
        <f t="shared" si="32"/>
        <v/>
      </c>
      <c r="AG20" s="211" t="str">
        <f t="shared" si="33"/>
        <v/>
      </c>
      <c r="AH20" s="27" t="str">
        <f t="shared" si="34"/>
        <v>SD 0</v>
      </c>
      <c r="AI20" s="27" t="str">
        <f t="shared" si="35"/>
        <v/>
      </c>
      <c r="AJ20" t="str">
        <f t="shared" si="36"/>
        <v/>
      </c>
      <c r="AK20" t="str">
        <f>IF(OR(G20="",G20="N",G20="Y"),"",IF(VLOOKUP(G20,LastYrList!A:D,2,FALSE)="Did Not Shoot","!!",IF(OR(VLOOKUP(G20,LastYrList!A:D,2,FALSE)&lt;&gt;'Entrant Data'!E7,VLOOKUP(G20,LastYrList!A:D,3,FALSE)&lt;&gt;'Entrant Data'!F7),CONCATENATE("Last yr entrant ",G20," was ",VLOOKUP(G20,LastYrList!A:D,2,FALSE)," ",VLOOKUP(G20,LastYrList!A:D,3,FALSE)," of ",VLOOKUP(G20,LastYrList!A:D,4,FALSE),". Check spelling etc. &amp; Proceed only if same person!"),"")))</f>
        <v/>
      </c>
      <c r="AL20" t="str">
        <f t="shared" si="37"/>
        <v/>
      </c>
      <c r="AM20" t="str">
        <f t="shared" si="38"/>
        <v/>
      </c>
      <c r="AN20" t="str">
        <f>IF(OR(G20="y",G20="n",G20="",AK20&lt;&gt;""),"",IF(D20=VLOOKUP(G20,LastYrList!A:G,7,FALSE),"",IF(VLOOKUP(G20,LastYrList!A:G,7,FALSE)="","","Check Date of Birth (Inconsistent with last year); ")))</f>
        <v/>
      </c>
      <c r="AO20" t="str">
        <f>IF(OR(G20="",(ISERR(VALUE(G20)))),"",IF(F20=VLOOKUP(G20,LastYrList!A:G,5,FALSE),"",IF(VLOOKUP(G20,LastYrList!A:G,5,FALSE)="","","Check Member &amp; Last year Comp No. (Inconsistency with last year); ")))</f>
        <v/>
      </c>
      <c r="AP20" t="str">
        <f>IF(OR(G20="",G20="y",G20="n"),"",IF(E20=VLOOKUP(G20,LastYrList!A:G,6,FALSE),"","Check Gender (Inconsistent with last year); "))</f>
        <v/>
      </c>
      <c r="AQ20" t="str">
        <f t="shared" si="39"/>
        <v/>
      </c>
      <c r="AR20" t="str">
        <f t="shared" si="40"/>
        <v/>
      </c>
      <c r="AS20" t="str">
        <f t="shared" si="41"/>
        <v/>
      </c>
      <c r="AT20" t="str">
        <f t="shared" si="42"/>
        <v/>
      </c>
      <c r="AU20" t="str">
        <f t="shared" si="43"/>
        <v/>
      </c>
      <c r="AV20" t="str">
        <f t="shared" si="44"/>
        <v/>
      </c>
      <c r="AW20" t="str">
        <f t="shared" si="45"/>
        <v/>
      </c>
      <c r="AX20" t="str">
        <f t="shared" si="18"/>
        <v/>
      </c>
      <c r="AY20" t="str">
        <f t="shared" si="46"/>
        <v/>
      </c>
      <c r="AZ20" t="str">
        <f t="shared" si="47"/>
        <v/>
      </c>
      <c r="BA20" t="str">
        <f t="shared" si="48"/>
        <v/>
      </c>
      <c r="BB20" t="str">
        <f t="shared" si="49"/>
        <v/>
      </c>
      <c r="BC20" s="347" t="str">
        <f t="shared" si="50"/>
        <v/>
      </c>
      <c r="BD20" s="347">
        <f t="shared" si="51"/>
        <v>0</v>
      </c>
      <c r="BE20" s="346" t="str">
        <f t="shared" si="52"/>
        <v/>
      </c>
      <c r="BF20" s="346" t="str">
        <f t="shared" si="53"/>
        <v/>
      </c>
      <c r="BG20" s="206" t="str">
        <f>IF(ISNA(VLOOKUP(CONCATENATE('Entrant Data'!E7," ",'Entrant Data'!F7),LastYrList!$H:$J,2,FALSE)),"",IF(AND(OR(T(G20)&lt;&gt;"",G20=0),D20=VLOOKUP(CONCATENATE('Entrant Data'!E7," ",'Entrant Data'!F7),LastYrList!$H:$J,3,FALSE)),CONCATENATE('Entrant Data'!E7," ",'Entrant Data'!F7," was No. ",(VLOOKUP(CONCATENATE('Entrant Data'!E7," ",'Entrant Data'!F7),LastYrList!$H:$J,2,FALSE))," last year. "),""))</f>
        <v/>
      </c>
      <c r="BH20" s="186" t="str">
        <f t="shared" si="54"/>
        <v/>
      </c>
      <c r="BN20"/>
      <c r="BO20"/>
    </row>
    <row r="21" spans="1:67" ht="13.5" x14ac:dyDescent="0.25">
      <c r="A21" s="259">
        <v>21</v>
      </c>
      <c r="B21" s="60"/>
      <c r="C21" s="61"/>
      <c r="D21" s="62"/>
      <c r="E21" s="103"/>
      <c r="F21" s="63"/>
      <c r="G21" s="105"/>
      <c r="H21" s="105"/>
      <c r="I21" s="59"/>
      <c r="J21" s="59"/>
      <c r="K21" s="59"/>
      <c r="L21" s="59"/>
      <c r="M21" s="59"/>
      <c r="N21" s="59"/>
      <c r="O21" s="59"/>
      <c r="P21" s="59"/>
      <c r="Q21" s="59"/>
      <c r="R21" s="103"/>
      <c r="S21" s="59"/>
      <c r="T21" s="105"/>
      <c r="U21" s="402"/>
      <c r="V21" s="103"/>
      <c r="W21" s="59"/>
      <c r="X21" s="109"/>
      <c r="Y21" s="37" t="str">
        <f t="shared" si="26"/>
        <v/>
      </c>
      <c r="Z21" s="205" t="s">
        <v>253</v>
      </c>
      <c r="AA21" t="str">
        <f t="shared" si="27"/>
        <v>No Entrant</v>
      </c>
      <c r="AB21" s="27" t="str">
        <f t="shared" si="28"/>
        <v/>
      </c>
      <c r="AC21" s="211" t="str">
        <f t="shared" si="29"/>
        <v/>
      </c>
      <c r="AD21" s="211" t="str">
        <f t="shared" si="30"/>
        <v/>
      </c>
      <c r="AE21" s="27" t="str">
        <f t="shared" si="31"/>
        <v>SE 0</v>
      </c>
      <c r="AF21" s="27" t="str">
        <f t="shared" si="32"/>
        <v/>
      </c>
      <c r="AG21" s="211" t="str">
        <f t="shared" si="33"/>
        <v/>
      </c>
      <c r="AH21" s="27" t="str">
        <f t="shared" si="34"/>
        <v>SE 0</v>
      </c>
      <c r="AI21" s="27" t="str">
        <f t="shared" si="35"/>
        <v/>
      </c>
      <c r="AJ21" t="str">
        <f t="shared" si="36"/>
        <v/>
      </c>
      <c r="AK21" t="str">
        <f>IF(OR(G21="",G21="N",G21="Y"),"",IF(VLOOKUP(G21,LastYrList!A:D,2,FALSE)="Did Not Shoot","!!",IF(OR(VLOOKUP(G21,LastYrList!A:D,2,FALSE)&lt;&gt;'Entrant Data'!E8,VLOOKUP(G21,LastYrList!A:D,3,FALSE)&lt;&gt;'Entrant Data'!F8),CONCATENATE("Last yr entrant ",G21," was ",VLOOKUP(G21,LastYrList!A:D,2,FALSE)," ",VLOOKUP(G21,LastYrList!A:D,3,FALSE)," of ",VLOOKUP(G21,LastYrList!A:D,4,FALSE),". Check spelling etc. &amp; Proceed only if same person!"),"")))</f>
        <v/>
      </c>
      <c r="AL21" t="str">
        <f t="shared" si="37"/>
        <v/>
      </c>
      <c r="AM21" t="str">
        <f t="shared" si="38"/>
        <v/>
      </c>
      <c r="AN21" t="str">
        <f>IF(OR(G21="y",G21="n",G21="",AK21&lt;&gt;""),"",IF(D21=VLOOKUP(G21,LastYrList!A:G,7,FALSE),"",IF(VLOOKUP(G21,LastYrList!A:G,7,FALSE)="","","Check Date of Birth (Inconsistent with last year); ")))</f>
        <v/>
      </c>
      <c r="AO21" t="str">
        <f>IF(OR(G21="",(ISERR(VALUE(G21)))),"",IF(F21=VLOOKUP(G21,LastYrList!A:G,5,FALSE),"",IF(VLOOKUP(G21,LastYrList!A:G,5,FALSE)="","","Check Member &amp; Last year Comp No. (Inconsistency with last year); ")))</f>
        <v/>
      </c>
      <c r="AP21" t="str">
        <f>IF(OR(G21="",G21="y",G21="n"),"",IF(E21=VLOOKUP(G21,LastYrList!A:G,6,FALSE),"","Check Gender (Inconsistent with last year); "))</f>
        <v/>
      </c>
      <c r="AQ21" t="str">
        <f t="shared" si="39"/>
        <v/>
      </c>
      <c r="AR21" t="str">
        <f t="shared" si="40"/>
        <v/>
      </c>
      <c r="AS21" t="str">
        <f t="shared" si="41"/>
        <v/>
      </c>
      <c r="AT21" t="str">
        <f t="shared" si="42"/>
        <v/>
      </c>
      <c r="AU21" t="str">
        <f t="shared" si="43"/>
        <v/>
      </c>
      <c r="AV21" t="str">
        <f t="shared" si="44"/>
        <v/>
      </c>
      <c r="AW21" t="str">
        <f t="shared" si="45"/>
        <v/>
      </c>
      <c r="AX21" t="str">
        <f t="shared" si="18"/>
        <v/>
      </c>
      <c r="AY21" t="str">
        <f t="shared" si="46"/>
        <v/>
      </c>
      <c r="AZ21" t="str">
        <f t="shared" si="47"/>
        <v/>
      </c>
      <c r="BA21" t="str">
        <f t="shared" si="48"/>
        <v/>
      </c>
      <c r="BB21" t="str">
        <f t="shared" si="49"/>
        <v/>
      </c>
      <c r="BC21" s="347" t="str">
        <f t="shared" si="50"/>
        <v/>
      </c>
      <c r="BD21" s="347">
        <f t="shared" si="51"/>
        <v>0</v>
      </c>
      <c r="BE21" s="346" t="str">
        <f t="shared" si="52"/>
        <v/>
      </c>
      <c r="BF21" s="346" t="str">
        <f t="shared" si="53"/>
        <v/>
      </c>
      <c r="BG21" s="206" t="str">
        <f>IF(ISNA(VLOOKUP(CONCATENATE('Entrant Data'!E8," ",'Entrant Data'!F8),LastYrList!$H:$J,2,FALSE)),"",IF(AND(OR(T(G21)&lt;&gt;"",G21=0),D21=VLOOKUP(CONCATENATE('Entrant Data'!E8," ",'Entrant Data'!F8),LastYrList!$H:$J,3,FALSE)),CONCATENATE('Entrant Data'!E8," ",'Entrant Data'!F8," was No. ",(VLOOKUP(CONCATENATE('Entrant Data'!E8," ",'Entrant Data'!F8),LastYrList!$H:$J,2,FALSE))," last year. "),""))</f>
        <v/>
      </c>
      <c r="BH21" s="186" t="str">
        <f t="shared" si="54"/>
        <v/>
      </c>
      <c r="BN21"/>
      <c r="BO21"/>
    </row>
    <row r="22" spans="1:67" ht="13.5" x14ac:dyDescent="0.25">
      <c r="A22" s="259">
        <v>22</v>
      </c>
      <c r="B22" s="60"/>
      <c r="C22" s="61"/>
      <c r="D22" s="62"/>
      <c r="E22" s="103"/>
      <c r="F22" s="63"/>
      <c r="G22" s="105"/>
      <c r="H22" s="105"/>
      <c r="I22" s="59"/>
      <c r="J22" s="59"/>
      <c r="K22" s="59"/>
      <c r="L22" s="59"/>
      <c r="M22" s="59"/>
      <c r="N22" s="59"/>
      <c r="O22" s="59"/>
      <c r="P22" s="59"/>
      <c r="Q22" s="59"/>
      <c r="R22" s="103"/>
      <c r="S22" s="59"/>
      <c r="T22" s="105"/>
      <c r="U22" s="402"/>
      <c r="V22" s="103"/>
      <c r="W22" s="59"/>
      <c r="X22" s="109"/>
      <c r="Y22" s="37" t="str">
        <f t="shared" si="26"/>
        <v/>
      </c>
      <c r="Z22" s="205" t="s">
        <v>254</v>
      </c>
      <c r="AA22" t="str">
        <f t="shared" si="27"/>
        <v>No Entrant</v>
      </c>
      <c r="AB22" s="27" t="str">
        <f t="shared" si="28"/>
        <v/>
      </c>
      <c r="AC22" s="211" t="str">
        <f t="shared" si="29"/>
        <v/>
      </c>
      <c r="AD22" s="211" t="str">
        <f t="shared" si="30"/>
        <v/>
      </c>
      <c r="AE22" s="27" t="str">
        <f t="shared" si="31"/>
        <v>SF 0</v>
      </c>
      <c r="AF22" s="27" t="str">
        <f t="shared" si="32"/>
        <v/>
      </c>
      <c r="AG22" s="211" t="str">
        <f t="shared" si="33"/>
        <v/>
      </c>
      <c r="AH22" s="27" t="str">
        <f t="shared" si="34"/>
        <v>SF 0</v>
      </c>
      <c r="AI22" s="27" t="str">
        <f t="shared" si="35"/>
        <v/>
      </c>
      <c r="AJ22" t="str">
        <f t="shared" si="36"/>
        <v/>
      </c>
      <c r="AK22" t="str">
        <f>IF(OR(G22="",G22="N",G22="Y"),"",IF(VLOOKUP(G22,LastYrList!A:D,2,FALSE)="Did Not Shoot","!!",IF(OR(VLOOKUP(G22,LastYrList!A:D,2,FALSE)&lt;&gt;'Entrant Data'!E9,VLOOKUP(G22,LastYrList!A:D,3,FALSE)&lt;&gt;'Entrant Data'!F9),CONCATENATE("Last yr entrant ",G22," was ",VLOOKUP(G22,LastYrList!A:D,2,FALSE)," ",VLOOKUP(G22,LastYrList!A:D,3,FALSE)," of ",VLOOKUP(G22,LastYrList!A:D,4,FALSE),". Check spelling etc. &amp; Proceed only if same person!"),"")))</f>
        <v/>
      </c>
      <c r="AL22" t="str">
        <f t="shared" si="37"/>
        <v/>
      </c>
      <c r="AM22" t="str">
        <f t="shared" si="38"/>
        <v/>
      </c>
      <c r="AN22" t="str">
        <f>IF(OR(G22="y",G22="n",G22="",AK22&lt;&gt;""),"",IF(D22=VLOOKUP(G22,LastYrList!A:G,7,FALSE),"",IF(VLOOKUP(G22,LastYrList!A:G,7,FALSE)="","","Check Date of Birth (Inconsistent with last year); ")))</f>
        <v/>
      </c>
      <c r="AO22" t="str">
        <f>IF(OR(G22="",(ISERR(VALUE(G22)))),"",IF(F22=VLOOKUP(G22,LastYrList!A:G,5,FALSE),"",IF(VLOOKUP(G22,LastYrList!A:G,5,FALSE)="","","Check Member &amp; Last year Comp No. (Inconsistency with last year); ")))</f>
        <v/>
      </c>
      <c r="AP22" t="str">
        <f>IF(OR(G22="",G22="y",G22="n"),"",IF(E22=VLOOKUP(G22,LastYrList!A:G,6,FALSE),"","Check Gender (Inconsistent with last year); "))</f>
        <v/>
      </c>
      <c r="AQ22" t="str">
        <f t="shared" si="39"/>
        <v/>
      </c>
      <c r="AR22" t="str">
        <f t="shared" si="40"/>
        <v/>
      </c>
      <c r="AS22" t="str">
        <f t="shared" si="41"/>
        <v/>
      </c>
      <c r="AT22" t="str">
        <f t="shared" si="42"/>
        <v/>
      </c>
      <c r="AU22" t="str">
        <f t="shared" si="43"/>
        <v/>
      </c>
      <c r="AV22" t="str">
        <f t="shared" si="44"/>
        <v/>
      </c>
      <c r="AW22" t="str">
        <f t="shared" si="45"/>
        <v/>
      </c>
      <c r="AX22" t="str">
        <f t="shared" si="18"/>
        <v/>
      </c>
      <c r="AY22" t="str">
        <f t="shared" si="46"/>
        <v/>
      </c>
      <c r="AZ22" t="str">
        <f t="shared" si="47"/>
        <v/>
      </c>
      <c r="BA22" t="str">
        <f t="shared" si="48"/>
        <v/>
      </c>
      <c r="BB22" t="str">
        <f t="shared" si="49"/>
        <v/>
      </c>
      <c r="BC22" s="347" t="str">
        <f t="shared" si="50"/>
        <v/>
      </c>
      <c r="BD22" s="347">
        <f t="shared" si="51"/>
        <v>0</v>
      </c>
      <c r="BE22" s="346" t="str">
        <f t="shared" si="52"/>
        <v/>
      </c>
      <c r="BF22" s="346" t="str">
        <f t="shared" si="53"/>
        <v/>
      </c>
      <c r="BG22" s="206" t="str">
        <f>IF(ISNA(VLOOKUP(CONCATENATE('Entrant Data'!E9," ",'Entrant Data'!F9),LastYrList!$H:$J,2,FALSE)),"",IF(AND(OR(T(G22)&lt;&gt;"",G22=0),D22=VLOOKUP(CONCATENATE('Entrant Data'!E9," ",'Entrant Data'!F9),LastYrList!$H:$J,3,FALSE)),CONCATENATE('Entrant Data'!E9," ",'Entrant Data'!F9," was No. ",(VLOOKUP(CONCATENATE('Entrant Data'!E9," ",'Entrant Data'!F9),LastYrList!$H:$J,2,FALSE))," last year. "),""))</f>
        <v/>
      </c>
      <c r="BH22" s="186" t="str">
        <f t="shared" si="54"/>
        <v/>
      </c>
      <c r="BN22"/>
      <c r="BO22"/>
    </row>
    <row r="23" spans="1:67" ht="13.5" x14ac:dyDescent="0.25">
      <c r="A23" s="259">
        <v>23</v>
      </c>
      <c r="B23" s="60"/>
      <c r="C23" s="61"/>
      <c r="D23" s="62"/>
      <c r="E23" s="103"/>
      <c r="F23" s="63"/>
      <c r="G23" s="105"/>
      <c r="H23" s="105"/>
      <c r="I23" s="59"/>
      <c r="J23" s="59"/>
      <c r="K23" s="59"/>
      <c r="L23" s="59"/>
      <c r="M23" s="59"/>
      <c r="N23" s="59"/>
      <c r="O23" s="59"/>
      <c r="P23" s="59"/>
      <c r="Q23" s="59"/>
      <c r="R23" s="103"/>
      <c r="S23" s="59"/>
      <c r="T23" s="105"/>
      <c r="U23" s="402"/>
      <c r="V23" s="103"/>
      <c r="W23" s="59"/>
      <c r="X23" s="109"/>
      <c r="Y23" s="37" t="str">
        <f t="shared" si="26"/>
        <v/>
      </c>
      <c r="Z23" s="205" t="s">
        <v>255</v>
      </c>
      <c r="AA23" t="str">
        <f t="shared" si="27"/>
        <v>No Entrant</v>
      </c>
      <c r="AB23" s="27" t="str">
        <f t="shared" si="28"/>
        <v/>
      </c>
      <c r="AC23" s="211" t="str">
        <f t="shared" si="29"/>
        <v/>
      </c>
      <c r="AD23" s="211" t="str">
        <f t="shared" si="30"/>
        <v/>
      </c>
      <c r="AE23" s="27" t="str">
        <f t="shared" si="31"/>
        <v>SG 0</v>
      </c>
      <c r="AF23" s="27" t="str">
        <f t="shared" si="32"/>
        <v/>
      </c>
      <c r="AG23" s="211" t="str">
        <f t="shared" si="33"/>
        <v/>
      </c>
      <c r="AH23" s="27" t="str">
        <f t="shared" si="34"/>
        <v>SG 0</v>
      </c>
      <c r="AI23" s="27" t="str">
        <f t="shared" si="35"/>
        <v/>
      </c>
      <c r="AJ23" t="str">
        <f t="shared" si="36"/>
        <v/>
      </c>
      <c r="AK23" t="str">
        <f>IF(OR(G23="",G23="N",G23="Y"),"",IF(VLOOKUP(G23,LastYrList!A:D,2,FALSE)="Did Not Shoot","!!",IF(OR(VLOOKUP(G23,LastYrList!A:D,2,FALSE)&lt;&gt;'Entrant Data'!E10,VLOOKUP(G23,LastYrList!A:D,3,FALSE)&lt;&gt;'Entrant Data'!F10),CONCATENATE("Last yr entrant ",G23," was ",VLOOKUP(G23,LastYrList!A:D,2,FALSE)," ",VLOOKUP(G23,LastYrList!A:D,3,FALSE)," of ",VLOOKUP(G23,LastYrList!A:D,4,FALSE),". Check spelling etc. &amp; Proceed only if same person!"),"")))</f>
        <v/>
      </c>
      <c r="AL23" t="str">
        <f t="shared" si="37"/>
        <v/>
      </c>
      <c r="AM23" t="str">
        <f t="shared" si="38"/>
        <v/>
      </c>
      <c r="AN23" t="str">
        <f>IF(OR(G23="y",G23="n",G23="",AK23&lt;&gt;""),"",IF(D23=VLOOKUP(G23,LastYrList!A:G,7,FALSE),"",IF(VLOOKUP(G23,LastYrList!A:G,7,FALSE)="","","Check Date of Birth (Inconsistent with last year); ")))</f>
        <v/>
      </c>
      <c r="AO23" t="str">
        <f>IF(OR(G23="",(ISERR(VALUE(G23)))),"",IF(F23=VLOOKUP(G23,LastYrList!A:G,5,FALSE),"",IF(VLOOKUP(G23,LastYrList!A:G,5,FALSE)="","","Check Member &amp; Last year Comp No. (Inconsistency with last year); ")))</f>
        <v/>
      </c>
      <c r="AP23" t="str">
        <f>IF(OR(G23="",G23="y",G23="n"),"",IF(E23=VLOOKUP(G23,LastYrList!A:G,6,FALSE),"","Check Gender (Inconsistent with last year); "))</f>
        <v/>
      </c>
      <c r="AQ23" t="str">
        <f t="shared" si="39"/>
        <v/>
      </c>
      <c r="AR23" t="str">
        <f t="shared" si="40"/>
        <v/>
      </c>
      <c r="AS23" t="str">
        <f t="shared" si="41"/>
        <v/>
      </c>
      <c r="AT23" t="str">
        <f t="shared" si="42"/>
        <v/>
      </c>
      <c r="AU23" t="str">
        <f t="shared" si="43"/>
        <v/>
      </c>
      <c r="AV23" t="str">
        <f t="shared" si="44"/>
        <v/>
      </c>
      <c r="AW23" t="str">
        <f t="shared" si="45"/>
        <v/>
      </c>
      <c r="AX23" t="str">
        <f t="shared" si="18"/>
        <v/>
      </c>
      <c r="AY23" t="str">
        <f t="shared" si="46"/>
        <v/>
      </c>
      <c r="AZ23" t="str">
        <f t="shared" si="47"/>
        <v/>
      </c>
      <c r="BA23" t="str">
        <f t="shared" si="48"/>
        <v/>
      </c>
      <c r="BB23" t="str">
        <f t="shared" si="49"/>
        <v/>
      </c>
      <c r="BC23" s="347" t="str">
        <f t="shared" si="50"/>
        <v/>
      </c>
      <c r="BD23" s="347">
        <f t="shared" si="51"/>
        <v>0</v>
      </c>
      <c r="BE23" s="346" t="str">
        <f t="shared" si="52"/>
        <v/>
      </c>
      <c r="BF23" s="346" t="str">
        <f t="shared" si="53"/>
        <v/>
      </c>
      <c r="BG23" s="206" t="str">
        <f>IF(ISNA(VLOOKUP(CONCATENATE('Entrant Data'!E10," ",'Entrant Data'!F10),LastYrList!$H:$J,2,FALSE)),"",IF(AND(OR(T(G23)&lt;&gt;"",G23=0),D23=VLOOKUP(CONCATENATE('Entrant Data'!E10," ",'Entrant Data'!F10),LastYrList!$H:$J,3,FALSE)),CONCATENATE('Entrant Data'!E10," ",'Entrant Data'!F10," was No. ",(VLOOKUP(CONCATENATE('Entrant Data'!E10," ",'Entrant Data'!F10),LastYrList!$H:$J,2,FALSE))," last year. "),""))</f>
        <v/>
      </c>
      <c r="BH23" s="186" t="str">
        <f t="shared" si="54"/>
        <v/>
      </c>
      <c r="BN23"/>
      <c r="BO23"/>
    </row>
    <row r="24" spans="1:67" ht="13.5" x14ac:dyDescent="0.25">
      <c r="A24" s="259">
        <v>24</v>
      </c>
      <c r="B24" s="60"/>
      <c r="C24" s="61"/>
      <c r="D24" s="62"/>
      <c r="E24" s="103"/>
      <c r="F24" s="63"/>
      <c r="G24" s="105"/>
      <c r="H24" s="105"/>
      <c r="I24" s="59"/>
      <c r="J24" s="59"/>
      <c r="K24" s="59"/>
      <c r="L24" s="59"/>
      <c r="M24" s="59"/>
      <c r="N24" s="59"/>
      <c r="O24" s="59"/>
      <c r="P24" s="59"/>
      <c r="Q24" s="59"/>
      <c r="R24" s="103"/>
      <c r="S24" s="59"/>
      <c r="T24" s="105"/>
      <c r="U24" s="402"/>
      <c r="V24" s="103"/>
      <c r="W24" s="59"/>
      <c r="X24" s="109"/>
      <c r="Y24" s="37" t="str">
        <f t="shared" si="26"/>
        <v/>
      </c>
      <c r="Z24" s="205" t="s">
        <v>309</v>
      </c>
      <c r="AA24" t="str">
        <f t="shared" si="27"/>
        <v>No Entrant</v>
      </c>
      <c r="AB24" s="27" t="str">
        <f t="shared" si="28"/>
        <v/>
      </c>
      <c r="AC24" s="211" t="str">
        <f t="shared" si="29"/>
        <v/>
      </c>
      <c r="AD24" s="211" t="str">
        <f t="shared" si="30"/>
        <v/>
      </c>
      <c r="AE24" s="27" t="str">
        <f t="shared" si="31"/>
        <v>SH 0</v>
      </c>
      <c r="AF24" s="27" t="str">
        <f t="shared" si="32"/>
        <v/>
      </c>
      <c r="AG24" s="211" t="str">
        <f t="shared" si="33"/>
        <v/>
      </c>
      <c r="AH24" s="27" t="str">
        <f t="shared" si="34"/>
        <v>SH 0</v>
      </c>
      <c r="AI24" s="27" t="str">
        <f t="shared" si="35"/>
        <v/>
      </c>
      <c r="AJ24" t="str">
        <f t="shared" si="36"/>
        <v/>
      </c>
      <c r="AK24" t="str">
        <f>IF(OR(G24="",G24="N",G24="Y"),"",IF(VLOOKUP(G24,LastYrList!A:D,2,FALSE)="Did Not Shoot","!!",IF(OR(VLOOKUP(G24,LastYrList!A:D,2,FALSE)&lt;&gt;'Entrant Data'!E11,VLOOKUP(G24,LastYrList!A:D,3,FALSE)&lt;&gt;'Entrant Data'!F11),CONCATENATE("Last yr entrant ",G24," was ",VLOOKUP(G24,LastYrList!A:D,2,FALSE)," ",VLOOKUP(G24,LastYrList!A:D,3,FALSE)," of ",VLOOKUP(G24,LastYrList!A:D,4,FALSE),". Check spelling etc. &amp; Proceed only if same person!"),"")))</f>
        <v/>
      </c>
      <c r="AL24" t="str">
        <f t="shared" si="37"/>
        <v/>
      </c>
      <c r="AM24" t="str">
        <f t="shared" si="38"/>
        <v/>
      </c>
      <c r="AN24" t="str">
        <f>IF(OR(G24="y",G24="n",G24="",AK24&lt;&gt;""),"",IF(D24=VLOOKUP(G24,LastYrList!A:G,7,FALSE),"",IF(VLOOKUP(G24,LastYrList!A:G,7,FALSE)="","","Check Date of Birth (Inconsistent with last year); ")))</f>
        <v/>
      </c>
      <c r="AO24" t="str">
        <f>IF(OR(G24="",(ISERR(VALUE(G24)))),"",IF(F24=VLOOKUP(G24,LastYrList!A:G,5,FALSE),"",IF(VLOOKUP(G24,LastYrList!A:G,5,FALSE)="","","Check Member &amp; Last year Comp No. (Inconsistency with last year); ")))</f>
        <v/>
      </c>
      <c r="AP24" t="str">
        <f>IF(OR(G24="",G24="y",G24="n"),"",IF(E24=VLOOKUP(G24,LastYrList!A:G,6,FALSE),"","Check Gender (Inconsistent with last year); "))</f>
        <v/>
      </c>
      <c r="AQ24" t="str">
        <f t="shared" si="39"/>
        <v/>
      </c>
      <c r="AR24" t="str">
        <f t="shared" si="40"/>
        <v/>
      </c>
      <c r="AS24" t="str">
        <f t="shared" si="41"/>
        <v/>
      </c>
      <c r="AT24" t="str">
        <f t="shared" si="42"/>
        <v/>
      </c>
      <c r="AU24" t="str">
        <f t="shared" si="43"/>
        <v/>
      </c>
      <c r="AV24" t="str">
        <f t="shared" si="44"/>
        <v/>
      </c>
      <c r="AW24" t="str">
        <f t="shared" si="45"/>
        <v/>
      </c>
      <c r="AX24" t="str">
        <f t="shared" si="18"/>
        <v/>
      </c>
      <c r="AY24" t="str">
        <f t="shared" si="46"/>
        <v/>
      </c>
      <c r="AZ24" t="str">
        <f t="shared" si="47"/>
        <v/>
      </c>
      <c r="BA24" t="str">
        <f t="shared" si="48"/>
        <v/>
      </c>
      <c r="BB24" t="str">
        <f t="shared" si="49"/>
        <v/>
      </c>
      <c r="BC24" s="347" t="str">
        <f t="shared" si="50"/>
        <v/>
      </c>
      <c r="BD24" s="347">
        <f t="shared" si="51"/>
        <v>0</v>
      </c>
      <c r="BE24" s="346" t="str">
        <f t="shared" si="52"/>
        <v/>
      </c>
      <c r="BF24" s="346" t="str">
        <f t="shared" si="53"/>
        <v/>
      </c>
      <c r="BG24" s="206" t="str">
        <f>IF(ISNA(VLOOKUP(CONCATENATE('Entrant Data'!E11," ",'Entrant Data'!F11),LastYrList!$H:$J,2,FALSE)),"",IF(AND(OR(T(G24)&lt;&gt;"",G24=0),D24=VLOOKUP(CONCATENATE('Entrant Data'!E11," ",'Entrant Data'!F11),LastYrList!$H:$J,3,FALSE)),CONCATENATE('Entrant Data'!E11," ",'Entrant Data'!F11," was No. ",(VLOOKUP(CONCATENATE('Entrant Data'!E11," ",'Entrant Data'!F11),LastYrList!$H:$J,2,FALSE))," last year. "),""))</f>
        <v/>
      </c>
      <c r="BH24" s="186" t="str">
        <f t="shared" si="54"/>
        <v/>
      </c>
      <c r="BN24"/>
      <c r="BO24"/>
    </row>
    <row r="25" spans="1:67" ht="13.5" x14ac:dyDescent="0.25">
      <c r="A25" s="259">
        <v>25</v>
      </c>
      <c r="B25" s="60"/>
      <c r="C25" s="61"/>
      <c r="D25" s="62"/>
      <c r="E25" s="103"/>
      <c r="F25" s="63"/>
      <c r="G25" s="105"/>
      <c r="H25" s="105"/>
      <c r="I25" s="59"/>
      <c r="J25" s="59"/>
      <c r="K25" s="59"/>
      <c r="L25" s="59"/>
      <c r="M25" s="59"/>
      <c r="N25" s="59"/>
      <c r="O25" s="59"/>
      <c r="P25" s="59"/>
      <c r="Q25" s="59"/>
      <c r="R25" s="103"/>
      <c r="S25" s="59"/>
      <c r="T25" s="105"/>
      <c r="U25" s="402"/>
      <c r="V25" s="103"/>
      <c r="W25" s="59"/>
      <c r="X25" s="109"/>
      <c r="Y25" s="37" t="str">
        <f t="shared" si="26"/>
        <v/>
      </c>
      <c r="Z25" s="205" t="s">
        <v>268</v>
      </c>
      <c r="AA25" t="str">
        <f t="shared" si="27"/>
        <v>No Entrant</v>
      </c>
      <c r="AB25" s="27" t="str">
        <f t="shared" si="28"/>
        <v/>
      </c>
      <c r="AC25" s="211" t="str">
        <f t="shared" si="29"/>
        <v/>
      </c>
      <c r="AD25" s="211" t="str">
        <f t="shared" si="30"/>
        <v/>
      </c>
      <c r="AE25" s="27" t="str">
        <f t="shared" si="31"/>
        <v>R 0</v>
      </c>
      <c r="AF25" s="27" t="e">
        <f t="shared" si="32"/>
        <v>#VALUE!</v>
      </c>
      <c r="AG25" s="211" t="str">
        <f t="shared" si="33"/>
        <v/>
      </c>
      <c r="AH25" s="27" t="str">
        <f t="shared" si="34"/>
        <v>R 0</v>
      </c>
      <c r="AI25" s="27" t="e">
        <f t="shared" si="35"/>
        <v>#VALUE!</v>
      </c>
      <c r="AJ25" t="str">
        <f t="shared" si="36"/>
        <v/>
      </c>
      <c r="AK25" t="str">
        <f>IF(OR(G25="",G25="N",G25="Y"),"",IF(VLOOKUP(G25,LastYrList!A:D,2,FALSE)="Did Not Shoot","!!",IF(OR(VLOOKUP(G25,LastYrList!A:D,2,FALSE)&lt;&gt;'Entrant Data'!E12,VLOOKUP(G25,LastYrList!A:D,3,FALSE)&lt;&gt;'Entrant Data'!F12),CONCATENATE("Last yr entrant ",G25," was ",VLOOKUP(G25,LastYrList!A:D,2,FALSE)," ",VLOOKUP(G25,LastYrList!A:D,3,FALSE)," of ",VLOOKUP(G25,LastYrList!A:D,4,FALSE),". Check spelling etc. &amp; Proceed only if same person!"),"")))</f>
        <v/>
      </c>
      <c r="AL25" t="str">
        <f t="shared" si="37"/>
        <v/>
      </c>
      <c r="AM25" t="str">
        <f t="shared" si="38"/>
        <v/>
      </c>
      <c r="AN25" t="str">
        <f>IF(OR(G25="y",G25="n",G25="",AK25&lt;&gt;""),"",IF(D25=VLOOKUP(G25,LastYrList!A:G,7,FALSE),"",IF(VLOOKUP(G25,LastYrList!A:G,7,FALSE)="","","Check Date of Birth (Inconsistent with last year); ")))</f>
        <v/>
      </c>
      <c r="AO25" t="str">
        <f>IF(OR(G25="",(ISERR(VALUE(G25)))),"",IF(F25=VLOOKUP(G25,LastYrList!A:G,5,FALSE),"",IF(VLOOKUP(G25,LastYrList!A:G,5,FALSE)="","","Check Member &amp; Last year Comp No. (Inconsistency with last year); ")))</f>
        <v/>
      </c>
      <c r="AP25" t="str">
        <f>IF(OR(G25="",G25="y",G25="n"),"",IF(E25=VLOOKUP(G25,LastYrList!A:G,6,FALSE),"","Check Gender (Inconsistent with last year); "))</f>
        <v/>
      </c>
      <c r="AQ25" t="str">
        <f t="shared" si="39"/>
        <v/>
      </c>
      <c r="AR25" t="str">
        <f t="shared" si="40"/>
        <v/>
      </c>
      <c r="AS25" t="str">
        <f t="shared" si="41"/>
        <v/>
      </c>
      <c r="AT25" t="str">
        <f t="shared" si="42"/>
        <v/>
      </c>
      <c r="AU25" t="str">
        <f t="shared" si="43"/>
        <v/>
      </c>
      <c r="AV25" t="str">
        <f t="shared" si="44"/>
        <v/>
      </c>
      <c r="AW25" t="str">
        <f t="shared" si="45"/>
        <v/>
      </c>
      <c r="AX25" t="str">
        <f t="shared" si="18"/>
        <v/>
      </c>
      <c r="AY25" t="str">
        <f t="shared" si="46"/>
        <v/>
      </c>
      <c r="AZ25" t="str">
        <f t="shared" si="47"/>
        <v/>
      </c>
      <c r="BA25" t="str">
        <f t="shared" si="48"/>
        <v/>
      </c>
      <c r="BB25" t="str">
        <f t="shared" si="49"/>
        <v/>
      </c>
      <c r="BC25" s="347" t="str">
        <f t="shared" si="50"/>
        <v/>
      </c>
      <c r="BD25" s="347">
        <f t="shared" si="51"/>
        <v>0</v>
      </c>
      <c r="BE25" s="346" t="str">
        <f t="shared" si="52"/>
        <v/>
      </c>
      <c r="BF25" s="346" t="str">
        <f t="shared" si="53"/>
        <v/>
      </c>
      <c r="BG25" s="206" t="str">
        <f>IF(ISNA(VLOOKUP(CONCATENATE('Entrant Data'!E12," ",'Entrant Data'!F12),LastYrList!$H:$J,2,FALSE)),"",IF(AND(OR(T(G25)&lt;&gt;"",G25=0),D25=VLOOKUP(CONCATENATE('Entrant Data'!E12," ",'Entrant Data'!F12),LastYrList!$H:$J,3,FALSE)),CONCATENATE('Entrant Data'!E12," ",'Entrant Data'!F12," was No. ",(VLOOKUP(CONCATENATE('Entrant Data'!E12," ",'Entrant Data'!F12),LastYrList!$H:$J,2,FALSE))," last year. "),""))</f>
        <v/>
      </c>
      <c r="BH25" s="186" t="str">
        <f t="shared" si="54"/>
        <v/>
      </c>
      <c r="BN25"/>
      <c r="BO25"/>
    </row>
    <row r="26" spans="1:67" ht="13.5" x14ac:dyDescent="0.25">
      <c r="A26" s="259">
        <v>26</v>
      </c>
      <c r="B26" s="60"/>
      <c r="C26" s="61"/>
      <c r="D26" s="62"/>
      <c r="E26" s="103"/>
      <c r="F26" s="63"/>
      <c r="G26" s="105"/>
      <c r="H26" s="105"/>
      <c r="I26" s="59"/>
      <c r="J26" s="59"/>
      <c r="K26" s="59"/>
      <c r="L26" s="59"/>
      <c r="M26" s="59"/>
      <c r="N26" s="59"/>
      <c r="O26" s="59"/>
      <c r="P26" s="59"/>
      <c r="Q26" s="59"/>
      <c r="R26" s="103"/>
      <c r="S26" s="59"/>
      <c r="T26" s="105"/>
      <c r="U26" s="402"/>
      <c r="V26" s="103"/>
      <c r="W26" s="59"/>
      <c r="X26" s="109"/>
      <c r="Y26" s="37" t="str">
        <f t="shared" si="26"/>
        <v/>
      </c>
      <c r="Z26" s="205" t="s">
        <v>323</v>
      </c>
      <c r="AA26" t="str">
        <f t="shared" si="27"/>
        <v>No Entrant</v>
      </c>
      <c r="AB26" s="27" t="str">
        <f t="shared" si="28"/>
        <v/>
      </c>
      <c r="AC26" s="211" t="str">
        <f t="shared" si="29"/>
        <v/>
      </c>
      <c r="AD26" s="211" t="str">
        <f t="shared" si="30"/>
        <v/>
      </c>
      <c r="AE26" s="27" t="str">
        <f t="shared" si="31"/>
        <v>- 0</v>
      </c>
      <c r="AF26" s="27" t="e">
        <f t="shared" si="32"/>
        <v>#VALUE!</v>
      </c>
      <c r="AG26" s="211" t="str">
        <f t="shared" si="33"/>
        <v/>
      </c>
      <c r="AH26" s="27" t="str">
        <f t="shared" si="34"/>
        <v>- 0</v>
      </c>
      <c r="AI26" s="27" t="e">
        <f t="shared" si="35"/>
        <v>#VALUE!</v>
      </c>
      <c r="AJ26" t="str">
        <f t="shared" si="36"/>
        <v/>
      </c>
      <c r="AK26" t="str">
        <f>IF(OR(G26="",G26="N",G26="Y"),"",IF(VLOOKUP(G26,LastYrList!A:D,2,FALSE)="Did Not Shoot","!!",IF(OR(VLOOKUP(G26,LastYrList!A:D,2,FALSE)&lt;&gt;'Entrant Data'!E13,VLOOKUP(G26,LastYrList!A:D,3,FALSE)&lt;&gt;'Entrant Data'!F13),CONCATENATE("Last yr entrant ",G26," was ",VLOOKUP(G26,LastYrList!A:D,2,FALSE)," ",VLOOKUP(G26,LastYrList!A:D,3,FALSE)," of ",VLOOKUP(G26,LastYrList!A:D,4,FALSE),". Check spelling etc. &amp; Proceed only if same person!"),"")))</f>
        <v/>
      </c>
      <c r="AL26" t="str">
        <f t="shared" si="37"/>
        <v/>
      </c>
      <c r="AM26" t="str">
        <f t="shared" si="38"/>
        <v/>
      </c>
      <c r="AN26" t="str">
        <f>IF(OR(G26="y",G26="n",G26="",AK26&lt;&gt;""),"",IF(D26=VLOOKUP(G26,LastYrList!A:G,7,FALSE),"",IF(VLOOKUP(G26,LastYrList!A:G,7,FALSE)="","","Check Date of Birth (Inconsistent with last year); ")))</f>
        <v/>
      </c>
      <c r="AO26" t="str">
        <f>IF(OR(G26="",(ISERR(VALUE(G26)))),"",IF(F26=VLOOKUP(G26,LastYrList!A:G,5,FALSE),"",IF(VLOOKUP(G26,LastYrList!A:G,5,FALSE)="","","Check Member &amp; Last year Comp No. (Inconsistency with last year); ")))</f>
        <v/>
      </c>
      <c r="AP26" t="str">
        <f>IF(OR(G26="",G26="y",G26="n"),"",IF(E26=VLOOKUP(G26,LastYrList!A:G,6,FALSE),"","Check Gender (Inconsistent with last year); "))</f>
        <v/>
      </c>
      <c r="AQ26" t="str">
        <f t="shared" si="39"/>
        <v/>
      </c>
      <c r="AR26" t="str">
        <f t="shared" si="40"/>
        <v/>
      </c>
      <c r="AS26" t="str">
        <f t="shared" si="41"/>
        <v/>
      </c>
      <c r="AT26" t="str">
        <f t="shared" si="42"/>
        <v/>
      </c>
      <c r="AU26" t="str">
        <f t="shared" si="43"/>
        <v/>
      </c>
      <c r="AV26" t="str">
        <f t="shared" si="44"/>
        <v/>
      </c>
      <c r="AW26" t="str">
        <f t="shared" si="45"/>
        <v/>
      </c>
      <c r="AX26" t="str">
        <f t="shared" si="18"/>
        <v/>
      </c>
      <c r="AY26" t="str">
        <f t="shared" si="46"/>
        <v/>
      </c>
      <c r="AZ26" t="str">
        <f t="shared" si="47"/>
        <v/>
      </c>
      <c r="BA26" t="str">
        <f t="shared" si="48"/>
        <v/>
      </c>
      <c r="BB26" t="str">
        <f t="shared" si="49"/>
        <v/>
      </c>
      <c r="BC26" s="347" t="str">
        <f t="shared" si="50"/>
        <v/>
      </c>
      <c r="BD26" s="347">
        <f t="shared" si="51"/>
        <v>0</v>
      </c>
      <c r="BE26" s="346" t="str">
        <f t="shared" si="52"/>
        <v/>
      </c>
      <c r="BF26" s="346" t="str">
        <f t="shared" si="53"/>
        <v/>
      </c>
      <c r="BG26" s="206" t="str">
        <f>IF(ISNA(VLOOKUP(CONCATENATE('Entrant Data'!E13," ",'Entrant Data'!F13),LastYrList!$H:$J,2,FALSE)),"",IF(AND(OR(T(G26)&lt;&gt;"",G26=0),D26=VLOOKUP(CONCATENATE('Entrant Data'!E13," ",'Entrant Data'!F13),LastYrList!$H:$J,3,FALSE)),CONCATENATE('Entrant Data'!E13," ",'Entrant Data'!F13," was No. ",(VLOOKUP(CONCATENATE('Entrant Data'!E13," ",'Entrant Data'!F13),LastYrList!$H:$J,2,FALSE))," last year. "),""))</f>
        <v/>
      </c>
      <c r="BH26" s="186" t="str">
        <f t="shared" si="54"/>
        <v/>
      </c>
      <c r="BN26"/>
      <c r="BO26"/>
    </row>
    <row r="27" spans="1:67" ht="13.5" x14ac:dyDescent="0.25">
      <c r="A27" s="259">
        <v>27</v>
      </c>
      <c r="B27" s="60"/>
      <c r="C27" s="61"/>
      <c r="D27" s="62"/>
      <c r="E27" s="103"/>
      <c r="F27" s="63"/>
      <c r="G27" s="105"/>
      <c r="H27" s="105"/>
      <c r="I27" s="59"/>
      <c r="J27" s="59"/>
      <c r="K27" s="59"/>
      <c r="L27" s="59"/>
      <c r="M27" s="59"/>
      <c r="N27" s="59"/>
      <c r="O27" s="59"/>
      <c r="P27" s="59"/>
      <c r="Q27" s="59"/>
      <c r="R27" s="103"/>
      <c r="S27" s="59"/>
      <c r="T27" s="105"/>
      <c r="U27" s="402"/>
      <c r="V27" s="103"/>
      <c r="W27" s="59"/>
      <c r="X27" s="109"/>
      <c r="Y27" s="37" t="str">
        <f t="shared" si="26"/>
        <v/>
      </c>
      <c r="Z27" s="205" t="s">
        <v>29</v>
      </c>
      <c r="AA27" t="str">
        <f t="shared" si="27"/>
        <v>No Entrant</v>
      </c>
      <c r="AB27" s="27" t="str">
        <f t="shared" si="28"/>
        <v/>
      </c>
      <c r="AC27" s="211" t="str">
        <f t="shared" si="29"/>
        <v/>
      </c>
      <c r="AD27" s="211" t="str">
        <f t="shared" si="30"/>
        <v/>
      </c>
      <c r="AE27" s="27" t="str">
        <f t="shared" si="31"/>
        <v>X 0</v>
      </c>
      <c r="AF27" s="27" t="e">
        <f t="shared" si="32"/>
        <v>#VALUE!</v>
      </c>
      <c r="AG27" s="211" t="str">
        <f t="shared" si="33"/>
        <v/>
      </c>
      <c r="AH27" s="27" t="str">
        <f t="shared" si="34"/>
        <v>X 0</v>
      </c>
      <c r="AI27" s="27" t="e">
        <f t="shared" si="35"/>
        <v>#VALUE!</v>
      </c>
      <c r="AJ27" t="str">
        <f t="shared" si="36"/>
        <v/>
      </c>
      <c r="AK27" t="str">
        <f>IF(OR(G27="",G27="N",G27="Y"),"",IF(VLOOKUP(G27,LastYrList!A:D,2,FALSE)="Did Not Shoot","!!",IF(OR(VLOOKUP(G27,LastYrList!A:D,2,FALSE)&lt;&gt;'Entrant Data'!E14,VLOOKUP(G27,LastYrList!A:D,3,FALSE)&lt;&gt;'Entrant Data'!F14),CONCATENATE("Last yr entrant ",G27," was ",VLOOKUP(G27,LastYrList!A:D,2,FALSE)," ",VLOOKUP(G27,LastYrList!A:D,3,FALSE)," of ",VLOOKUP(G27,LastYrList!A:D,4,FALSE),". Check spelling etc. &amp; Proceed only if same person!"),"")))</f>
        <v/>
      </c>
      <c r="AL27" t="str">
        <f t="shared" si="37"/>
        <v/>
      </c>
      <c r="AM27" t="str">
        <f t="shared" si="38"/>
        <v/>
      </c>
      <c r="AN27" t="str">
        <f>IF(OR(G27="y",G27="n",G27="",AK27&lt;&gt;""),"",IF(D27=VLOOKUP(G27,LastYrList!A:G,7,FALSE),"",IF(VLOOKUP(G27,LastYrList!A:G,7,FALSE)="","","Check Date of Birth (Inconsistent with last year); ")))</f>
        <v/>
      </c>
      <c r="AO27" t="str">
        <f>IF(OR(G27="",(ISERR(VALUE(G27)))),"",IF(F27=VLOOKUP(G27,LastYrList!A:G,5,FALSE),"",IF(VLOOKUP(G27,LastYrList!A:G,5,FALSE)="","","Check Member &amp; Last year Comp No. (Inconsistency with last year); ")))</f>
        <v/>
      </c>
      <c r="AP27" t="str">
        <f>IF(OR(G27="",G27="y",G27="n"),"",IF(E27=VLOOKUP(G27,LastYrList!A:G,6,FALSE),"","Check Gender (Inconsistent with last year); "))</f>
        <v/>
      </c>
      <c r="AQ27" t="str">
        <f t="shared" si="39"/>
        <v/>
      </c>
      <c r="AR27" t="str">
        <f t="shared" si="40"/>
        <v/>
      </c>
      <c r="AS27" t="str">
        <f t="shared" si="41"/>
        <v/>
      </c>
      <c r="AT27" t="str">
        <f t="shared" si="42"/>
        <v/>
      </c>
      <c r="AU27" t="str">
        <f t="shared" si="43"/>
        <v/>
      </c>
      <c r="AV27" t="str">
        <f t="shared" si="44"/>
        <v/>
      </c>
      <c r="AW27" t="str">
        <f t="shared" si="45"/>
        <v/>
      </c>
      <c r="AX27" t="str">
        <f t="shared" si="18"/>
        <v/>
      </c>
      <c r="AY27" t="str">
        <f t="shared" si="46"/>
        <v/>
      </c>
      <c r="AZ27" t="str">
        <f t="shared" si="47"/>
        <v/>
      </c>
      <c r="BA27" t="str">
        <f t="shared" si="48"/>
        <v/>
      </c>
      <c r="BB27" t="str">
        <f t="shared" si="49"/>
        <v/>
      </c>
      <c r="BC27" s="347" t="str">
        <f t="shared" si="50"/>
        <v/>
      </c>
      <c r="BD27" s="347">
        <f t="shared" si="51"/>
        <v>0</v>
      </c>
      <c r="BE27" s="346" t="str">
        <f t="shared" si="52"/>
        <v/>
      </c>
      <c r="BF27" s="346" t="str">
        <f t="shared" si="53"/>
        <v/>
      </c>
      <c r="BG27" s="206" t="str">
        <f>IF(ISNA(VLOOKUP(CONCATENATE('Entrant Data'!E14," ",'Entrant Data'!F14),LastYrList!$H:$J,2,FALSE)),"",IF(AND(OR(T(G27)&lt;&gt;"",G27=0),D27=VLOOKUP(CONCATENATE('Entrant Data'!E14," ",'Entrant Data'!F14),LastYrList!$H:$J,3,FALSE)),CONCATENATE('Entrant Data'!E14," ",'Entrant Data'!F14," was No. ",(VLOOKUP(CONCATENATE('Entrant Data'!E14," ",'Entrant Data'!F14),LastYrList!$H:$J,2,FALSE))," last year. "),""))</f>
        <v/>
      </c>
      <c r="BH27" s="186" t="str">
        <f t="shared" si="54"/>
        <v/>
      </c>
      <c r="BN27"/>
      <c r="BO27"/>
    </row>
    <row r="28" spans="1:67" ht="13.5" x14ac:dyDescent="0.25">
      <c r="A28" s="259">
        <v>28</v>
      </c>
      <c r="B28" s="60"/>
      <c r="C28" s="61"/>
      <c r="D28" s="62"/>
      <c r="E28" s="103"/>
      <c r="F28" s="63"/>
      <c r="G28" s="105"/>
      <c r="H28" s="105"/>
      <c r="I28" s="59"/>
      <c r="J28" s="59"/>
      <c r="K28" s="59"/>
      <c r="L28" s="59"/>
      <c r="M28" s="59"/>
      <c r="N28" s="59"/>
      <c r="O28" s="59"/>
      <c r="P28" s="59"/>
      <c r="Q28" s="59"/>
      <c r="R28" s="103"/>
      <c r="S28" s="59"/>
      <c r="T28" s="105"/>
      <c r="U28" s="402"/>
      <c r="V28" s="103"/>
      <c r="W28" s="59"/>
      <c r="X28" s="109"/>
      <c r="Y28" s="37" t="str">
        <f t="shared" si="26"/>
        <v/>
      </c>
      <c r="Z28" s="205" t="s">
        <v>37</v>
      </c>
      <c r="AA28" t="str">
        <f t="shared" si="27"/>
        <v>No Entrant</v>
      </c>
      <c r="AB28" s="27" t="str">
        <f t="shared" si="28"/>
        <v/>
      </c>
      <c r="AC28" s="211" t="str">
        <f t="shared" si="29"/>
        <v/>
      </c>
      <c r="AD28" s="211" t="str">
        <f t="shared" si="30"/>
        <v/>
      </c>
      <c r="AE28" s="27" t="str">
        <f t="shared" si="31"/>
        <v>N 0</v>
      </c>
      <c r="AF28" s="27" t="e">
        <f t="shared" si="32"/>
        <v>#VALUE!</v>
      </c>
      <c r="AG28" s="211" t="str">
        <f t="shared" si="33"/>
        <v/>
      </c>
      <c r="AH28" s="27" t="str">
        <f t="shared" si="34"/>
        <v>N 0</v>
      </c>
      <c r="AI28" s="27" t="e">
        <f t="shared" si="35"/>
        <v>#VALUE!</v>
      </c>
      <c r="AJ28" t="str">
        <f t="shared" si="36"/>
        <v/>
      </c>
      <c r="AK28" t="str">
        <f>IF(OR(G28="",G28="N",G28="Y"),"",IF(VLOOKUP(G28,LastYrList!A:D,2,FALSE)="Did Not Shoot","!!",IF(OR(VLOOKUP(G28,LastYrList!A:D,2,FALSE)&lt;&gt;'Entrant Data'!E15,VLOOKUP(G28,LastYrList!A:D,3,FALSE)&lt;&gt;'Entrant Data'!F15),CONCATENATE("Last yr entrant ",G28," was ",VLOOKUP(G28,LastYrList!A:D,2,FALSE)," ",VLOOKUP(G28,LastYrList!A:D,3,FALSE)," of ",VLOOKUP(G28,LastYrList!A:D,4,FALSE),". Check spelling etc. &amp; Proceed only if same person!"),"")))</f>
        <v/>
      </c>
      <c r="AL28" t="str">
        <f t="shared" si="37"/>
        <v/>
      </c>
      <c r="AM28" t="str">
        <f t="shared" si="38"/>
        <v/>
      </c>
      <c r="AN28" t="str">
        <f>IF(OR(G28="y",G28="n",G28="",AK28&lt;&gt;""),"",IF(D28=VLOOKUP(G28,LastYrList!A:G,7,FALSE),"",IF(VLOOKUP(G28,LastYrList!A:G,7,FALSE)="","","Check Date of Birth (Inconsistent with last year); ")))</f>
        <v/>
      </c>
      <c r="AO28" t="str">
        <f>IF(OR(G28="",(ISERR(VALUE(G28)))),"",IF(F28=VLOOKUP(G28,LastYrList!A:G,5,FALSE),"",IF(VLOOKUP(G28,LastYrList!A:G,5,FALSE)="","","Check Member &amp; Last year Comp No. (Inconsistency with last year); ")))</f>
        <v/>
      </c>
      <c r="AP28" t="str">
        <f>IF(OR(G28="",G28="y",G28="n"),"",IF(E28=VLOOKUP(G28,LastYrList!A:G,6,FALSE),"","Check Gender (Inconsistent with last year); "))</f>
        <v/>
      </c>
      <c r="AQ28" t="str">
        <f t="shared" si="39"/>
        <v/>
      </c>
      <c r="AR28" t="str">
        <f t="shared" si="40"/>
        <v/>
      </c>
      <c r="AS28" t="str">
        <f t="shared" si="41"/>
        <v/>
      </c>
      <c r="AT28" t="str">
        <f t="shared" si="42"/>
        <v/>
      </c>
      <c r="AU28" t="str">
        <f t="shared" si="43"/>
        <v/>
      </c>
      <c r="AV28" t="str">
        <f t="shared" si="44"/>
        <v/>
      </c>
      <c r="AW28" t="str">
        <f t="shared" si="45"/>
        <v/>
      </c>
      <c r="AX28" t="str">
        <f t="shared" si="18"/>
        <v/>
      </c>
      <c r="AY28" t="str">
        <f t="shared" si="46"/>
        <v/>
      </c>
      <c r="AZ28" t="str">
        <f t="shared" si="47"/>
        <v/>
      </c>
      <c r="BA28" t="str">
        <f t="shared" si="48"/>
        <v/>
      </c>
      <c r="BB28" t="str">
        <f t="shared" si="49"/>
        <v/>
      </c>
      <c r="BC28" s="347" t="str">
        <f t="shared" si="50"/>
        <v/>
      </c>
      <c r="BD28" s="347">
        <f t="shared" si="51"/>
        <v>0</v>
      </c>
      <c r="BE28" s="346" t="str">
        <f t="shared" si="52"/>
        <v/>
      </c>
      <c r="BF28" s="346" t="str">
        <f t="shared" si="53"/>
        <v/>
      </c>
      <c r="BG28" s="206" t="str">
        <f>IF(ISNA(VLOOKUP(CONCATENATE('Entrant Data'!E15," ",'Entrant Data'!F15),LastYrList!$H:$J,2,FALSE)),"",IF(AND(OR(T(G28)&lt;&gt;"",G28=0),D28=VLOOKUP(CONCATENATE('Entrant Data'!E15," ",'Entrant Data'!F15),LastYrList!$H:$J,3,FALSE)),CONCATENATE('Entrant Data'!E15," ",'Entrant Data'!F15," was No. ",(VLOOKUP(CONCATENATE('Entrant Data'!E15," ",'Entrant Data'!F15),LastYrList!$H:$J,2,FALSE))," last year. "),""))</f>
        <v/>
      </c>
      <c r="BH28" s="186" t="str">
        <f t="shared" si="54"/>
        <v/>
      </c>
      <c r="BN28"/>
      <c r="BO28"/>
    </row>
    <row r="29" spans="1:67" ht="13.5" x14ac:dyDescent="0.25">
      <c r="A29" s="259">
        <v>29</v>
      </c>
      <c r="B29" s="60"/>
      <c r="C29" s="61"/>
      <c r="D29" s="62"/>
      <c r="E29" s="103"/>
      <c r="F29" s="63"/>
      <c r="G29" s="105"/>
      <c r="H29" s="105"/>
      <c r="I29" s="59"/>
      <c r="J29" s="59"/>
      <c r="K29" s="59"/>
      <c r="L29" s="59"/>
      <c r="M29" s="59"/>
      <c r="N29" s="59"/>
      <c r="O29" s="59"/>
      <c r="P29" s="59"/>
      <c r="Q29" s="59"/>
      <c r="R29" s="103"/>
      <c r="S29" s="59"/>
      <c r="T29" s="105"/>
      <c r="U29" s="402"/>
      <c r="V29" s="103"/>
      <c r="W29" s="59"/>
      <c r="X29" s="109"/>
      <c r="Y29" s="37" t="str">
        <f t="shared" si="26"/>
        <v/>
      </c>
      <c r="Z29" s="205" t="s">
        <v>269</v>
      </c>
      <c r="AA29" t="str">
        <f t="shared" si="27"/>
        <v>No Entrant</v>
      </c>
      <c r="AB29" s="27" t="str">
        <f t="shared" si="28"/>
        <v/>
      </c>
      <c r="AC29" s="211" t="str">
        <f t="shared" si="29"/>
        <v/>
      </c>
      <c r="AD29" s="211" t="str">
        <f t="shared" si="30"/>
        <v/>
      </c>
      <c r="AE29" s="27" t="str">
        <f t="shared" si="31"/>
        <v>L 0</v>
      </c>
      <c r="AF29" s="27" t="e">
        <f t="shared" si="32"/>
        <v>#VALUE!</v>
      </c>
      <c r="AG29" s="211" t="str">
        <f t="shared" si="33"/>
        <v/>
      </c>
      <c r="AH29" s="27" t="str">
        <f t="shared" si="34"/>
        <v>L 0</v>
      </c>
      <c r="AI29" s="27" t="e">
        <f t="shared" si="35"/>
        <v>#VALUE!</v>
      </c>
      <c r="AJ29" t="str">
        <f t="shared" si="36"/>
        <v/>
      </c>
      <c r="AK29" t="str">
        <f>IF(OR(G29="",G29="N",G29="Y"),"",IF(VLOOKUP(G29,LastYrList!A:D,2,FALSE)="Did Not Shoot","!!",IF(OR(VLOOKUP(G29,LastYrList!A:D,2,FALSE)&lt;&gt;'Entrant Data'!E16,VLOOKUP(G29,LastYrList!A:D,3,FALSE)&lt;&gt;'Entrant Data'!F16),CONCATENATE("Last yr entrant ",G29," was ",VLOOKUP(G29,LastYrList!A:D,2,FALSE)," ",VLOOKUP(G29,LastYrList!A:D,3,FALSE)," of ",VLOOKUP(G29,LastYrList!A:D,4,FALSE),". Check spelling etc. &amp; Proceed only if same person!"),"")))</f>
        <v/>
      </c>
      <c r="AL29" t="str">
        <f t="shared" si="37"/>
        <v/>
      </c>
      <c r="AM29" t="str">
        <f t="shared" si="38"/>
        <v/>
      </c>
      <c r="AN29" t="str">
        <f>IF(OR(G29="y",G29="n",G29="",AK29&lt;&gt;""),"",IF(D29=VLOOKUP(G29,LastYrList!A:G,7,FALSE),"",IF(VLOOKUP(G29,LastYrList!A:G,7,FALSE)="","","Check Date of Birth (Inconsistent with last year); ")))</f>
        <v/>
      </c>
      <c r="AO29" t="str">
        <f>IF(OR(G29="",(ISERR(VALUE(G29)))),"",IF(F29=VLOOKUP(G29,LastYrList!A:G,5,FALSE),"",IF(VLOOKUP(G29,LastYrList!A:G,5,FALSE)="","","Check Member &amp; Last year Comp No. (Inconsistency with last year); ")))</f>
        <v/>
      </c>
      <c r="AP29" t="str">
        <f>IF(OR(G29="",G29="y",G29="n"),"",IF(E29=VLOOKUP(G29,LastYrList!A:G,6,FALSE),"","Check Gender (Inconsistent with last year); "))</f>
        <v/>
      </c>
      <c r="AQ29" t="str">
        <f t="shared" si="39"/>
        <v/>
      </c>
      <c r="AR29" t="str">
        <f t="shared" si="40"/>
        <v/>
      </c>
      <c r="AS29" t="str">
        <f t="shared" si="41"/>
        <v/>
      </c>
      <c r="AT29" t="str">
        <f t="shared" si="42"/>
        <v/>
      </c>
      <c r="AU29" t="str">
        <f t="shared" si="43"/>
        <v/>
      </c>
      <c r="AV29" t="str">
        <f t="shared" si="44"/>
        <v/>
      </c>
      <c r="AW29" t="str">
        <f t="shared" si="45"/>
        <v/>
      </c>
      <c r="AX29" t="str">
        <f t="shared" si="18"/>
        <v/>
      </c>
      <c r="AY29" t="str">
        <f t="shared" si="46"/>
        <v/>
      </c>
      <c r="AZ29" t="str">
        <f t="shared" si="47"/>
        <v/>
      </c>
      <c r="BA29" t="str">
        <f t="shared" si="48"/>
        <v/>
      </c>
      <c r="BB29" t="str">
        <f t="shared" si="49"/>
        <v/>
      </c>
      <c r="BC29" s="347" t="str">
        <f t="shared" si="50"/>
        <v/>
      </c>
      <c r="BD29" s="347">
        <f t="shared" si="51"/>
        <v>0</v>
      </c>
      <c r="BE29" s="346" t="str">
        <f t="shared" si="52"/>
        <v/>
      </c>
      <c r="BF29" s="346" t="str">
        <f t="shared" si="53"/>
        <v/>
      </c>
      <c r="BG29" s="206" t="str">
        <f>IF(ISNA(VLOOKUP(CONCATENATE('Entrant Data'!E16," ",'Entrant Data'!F16),LastYrList!$H:$J,2,FALSE)),"",IF(AND(OR(T(G29)&lt;&gt;"",G29=0),D29=VLOOKUP(CONCATENATE('Entrant Data'!E16," ",'Entrant Data'!F16),LastYrList!$H:$J,3,FALSE)),CONCATENATE('Entrant Data'!E16," ",'Entrant Data'!F16," was No. ",(VLOOKUP(CONCATENATE('Entrant Data'!E16," ",'Entrant Data'!F16),LastYrList!$H:$J,2,FALSE))," last year. "),""))</f>
        <v/>
      </c>
      <c r="BH29" s="186" t="str">
        <f t="shared" si="54"/>
        <v/>
      </c>
      <c r="BN29"/>
      <c r="BO29"/>
    </row>
    <row r="30" spans="1:67" ht="13.5" x14ac:dyDescent="0.25">
      <c r="A30" s="259">
        <v>30</v>
      </c>
      <c r="B30" s="60"/>
      <c r="C30" s="61"/>
      <c r="D30" s="62"/>
      <c r="E30" s="103"/>
      <c r="F30" s="63"/>
      <c r="G30" s="105"/>
      <c r="H30" s="105"/>
      <c r="I30" s="59"/>
      <c r="J30" s="59"/>
      <c r="K30" s="59"/>
      <c r="L30" s="59"/>
      <c r="M30" s="59"/>
      <c r="N30" s="59"/>
      <c r="O30" s="59"/>
      <c r="P30" s="59"/>
      <c r="Q30" s="59"/>
      <c r="R30" s="103"/>
      <c r="S30" s="59"/>
      <c r="T30" s="105"/>
      <c r="U30" s="402"/>
      <c r="V30" s="103"/>
      <c r="W30" s="59"/>
      <c r="X30" s="109"/>
      <c r="Y30" s="37" t="str">
        <f t="shared" si="26"/>
        <v/>
      </c>
      <c r="Z30" s="205" t="s">
        <v>36</v>
      </c>
      <c r="AA30" t="str">
        <f t="shared" si="27"/>
        <v>No Entrant</v>
      </c>
      <c r="AB30" s="27" t="str">
        <f t="shared" si="28"/>
        <v/>
      </c>
      <c r="AC30" s="211" t="str">
        <f t="shared" si="29"/>
        <v/>
      </c>
      <c r="AD30" s="211" t="str">
        <f t="shared" si="30"/>
        <v/>
      </c>
      <c r="AE30" s="27" t="str">
        <f t="shared" si="31"/>
        <v>Y 0</v>
      </c>
      <c r="AF30" s="27" t="e">
        <f t="shared" si="32"/>
        <v>#VALUE!</v>
      </c>
      <c r="AG30" s="211" t="str">
        <f t="shared" si="33"/>
        <v/>
      </c>
      <c r="AH30" s="27" t="str">
        <f t="shared" si="34"/>
        <v>Y 0</v>
      </c>
      <c r="AI30" s="27" t="e">
        <f t="shared" si="35"/>
        <v>#VALUE!</v>
      </c>
      <c r="AJ30" t="str">
        <f t="shared" si="36"/>
        <v/>
      </c>
      <c r="AK30" t="str">
        <f>IF(OR(G30="",G30="N",G30="Y"),"",IF(VLOOKUP(G30,LastYrList!A:D,2,FALSE)="Did Not Shoot","!!",IF(OR(VLOOKUP(G30,LastYrList!A:D,2,FALSE)&lt;&gt;'Entrant Data'!E17,VLOOKUP(G30,LastYrList!A:D,3,FALSE)&lt;&gt;'Entrant Data'!F17),CONCATENATE("Last yr entrant ",G30," was ",VLOOKUP(G30,LastYrList!A:D,2,FALSE)," ",VLOOKUP(G30,LastYrList!A:D,3,FALSE)," of ",VLOOKUP(G30,LastYrList!A:D,4,FALSE),". Check spelling etc. &amp; Proceed only if same person!"),"")))</f>
        <v/>
      </c>
      <c r="AL30" t="str">
        <f t="shared" si="37"/>
        <v/>
      </c>
      <c r="AM30" t="str">
        <f t="shared" si="38"/>
        <v/>
      </c>
      <c r="AN30" t="str">
        <f>IF(OR(G30="y",G30="n",G30="",AK30&lt;&gt;""),"",IF(D30=VLOOKUP(G30,LastYrList!A:G,7,FALSE),"",IF(VLOOKUP(G30,LastYrList!A:G,7,FALSE)="","","Check Date of Birth (Inconsistent with last year); ")))</f>
        <v/>
      </c>
      <c r="AO30" t="str">
        <f>IF(OR(G30="",(ISERR(VALUE(G30)))),"",IF(F30=VLOOKUP(G30,LastYrList!A:G,5,FALSE),"",IF(VLOOKUP(G30,LastYrList!A:G,5,FALSE)="","","Check Member &amp; Last year Comp No. (Inconsistency with last year); ")))</f>
        <v/>
      </c>
      <c r="AP30" t="str">
        <f>IF(OR(G30="",G30="y",G30="n"),"",IF(E30=VLOOKUP(G30,LastYrList!A:G,6,FALSE),"","Check Gender (Inconsistent with last year); "))</f>
        <v/>
      </c>
      <c r="AQ30" t="str">
        <f t="shared" si="39"/>
        <v/>
      </c>
      <c r="AR30" t="str">
        <f t="shared" si="40"/>
        <v/>
      </c>
      <c r="AS30" t="str">
        <f t="shared" si="41"/>
        <v/>
      </c>
      <c r="AT30" t="str">
        <f t="shared" si="42"/>
        <v/>
      </c>
      <c r="AU30" t="str">
        <f t="shared" si="43"/>
        <v/>
      </c>
      <c r="AV30" t="str">
        <f t="shared" si="44"/>
        <v/>
      </c>
      <c r="AW30" t="str">
        <f t="shared" si="45"/>
        <v/>
      </c>
      <c r="AX30" t="str">
        <f t="shared" si="18"/>
        <v/>
      </c>
      <c r="AY30" t="str">
        <f t="shared" si="46"/>
        <v/>
      </c>
      <c r="AZ30" t="str">
        <f t="shared" si="47"/>
        <v/>
      </c>
      <c r="BA30" t="str">
        <f t="shared" si="48"/>
        <v/>
      </c>
      <c r="BB30" t="str">
        <f t="shared" si="49"/>
        <v/>
      </c>
      <c r="BC30" s="347" t="str">
        <f t="shared" si="50"/>
        <v/>
      </c>
      <c r="BD30" s="347">
        <f t="shared" si="51"/>
        <v>0</v>
      </c>
      <c r="BE30" s="346" t="str">
        <f t="shared" si="52"/>
        <v/>
      </c>
      <c r="BF30" s="346" t="str">
        <f t="shared" si="53"/>
        <v/>
      </c>
      <c r="BG30" s="206" t="str">
        <f>IF(ISNA(VLOOKUP(CONCATENATE('Entrant Data'!E17," ",'Entrant Data'!F17),LastYrList!$H:$J,2,FALSE)),"",IF(AND(OR(T(G30)&lt;&gt;"",G30=0),D30=VLOOKUP(CONCATENATE('Entrant Data'!E17," ",'Entrant Data'!F17),LastYrList!$H:$J,3,FALSE)),CONCATENATE('Entrant Data'!E17," ",'Entrant Data'!F17," was No. ",(VLOOKUP(CONCATENATE('Entrant Data'!E17," ",'Entrant Data'!F17),LastYrList!$H:$J,2,FALSE))," last year. "),""))</f>
        <v/>
      </c>
      <c r="BH30" s="186" t="str">
        <f t="shared" si="54"/>
        <v/>
      </c>
      <c r="BN30"/>
      <c r="BO30"/>
    </row>
    <row r="31" spans="1:67" ht="13.5" x14ac:dyDescent="0.25">
      <c r="A31" s="259">
        <v>31</v>
      </c>
      <c r="B31" s="60"/>
      <c r="C31" s="61"/>
      <c r="D31" s="62"/>
      <c r="E31" s="103"/>
      <c r="F31" s="63"/>
      <c r="G31" s="105"/>
      <c r="H31" s="105"/>
      <c r="I31" s="59"/>
      <c r="J31" s="59"/>
      <c r="K31" s="59"/>
      <c r="L31" s="59"/>
      <c r="M31" s="59"/>
      <c r="N31" s="59"/>
      <c r="O31" s="59"/>
      <c r="P31" s="59"/>
      <c r="Q31" s="59"/>
      <c r="R31" s="103"/>
      <c r="S31" s="59"/>
      <c r="T31" s="105"/>
      <c r="U31" s="402"/>
      <c r="V31" s="103"/>
      <c r="W31" s="59"/>
      <c r="X31" s="109"/>
      <c r="Y31" s="37" t="str">
        <f t="shared" si="26"/>
        <v/>
      </c>
      <c r="Z31" s="205" t="s">
        <v>267</v>
      </c>
      <c r="AA31" t="str">
        <f t="shared" si="27"/>
        <v>No Entrant</v>
      </c>
      <c r="AB31" s="27" t="str">
        <f t="shared" si="28"/>
        <v/>
      </c>
      <c r="AC31" s="211" t="str">
        <f t="shared" si="29"/>
        <v/>
      </c>
      <c r="AD31" s="211" t="str">
        <f t="shared" si="30"/>
        <v/>
      </c>
      <c r="AE31" s="27" t="str">
        <f t="shared" si="31"/>
        <v>Y1Share 0</v>
      </c>
      <c r="AF31" s="27" t="e">
        <f t="shared" si="32"/>
        <v>#VALUE!</v>
      </c>
      <c r="AG31" s="211" t="str">
        <f t="shared" si="33"/>
        <v/>
      </c>
      <c r="AH31" s="27" t="str">
        <f t="shared" si="34"/>
        <v>Y1Share 0</v>
      </c>
      <c r="AI31" s="27" t="e">
        <f t="shared" si="35"/>
        <v>#VALUE!</v>
      </c>
      <c r="AJ31" t="str">
        <f t="shared" si="36"/>
        <v/>
      </c>
      <c r="AK31" t="str">
        <f>IF(OR(G31="",G31="N",G31="Y"),"",IF(VLOOKUP(G31,LastYrList!A:D,2,FALSE)="Did Not Shoot","!!",IF(OR(VLOOKUP(G31,LastYrList!A:D,2,FALSE)&lt;&gt;'Entrant Data'!E18,VLOOKUP(G31,LastYrList!A:D,3,FALSE)&lt;&gt;'Entrant Data'!F18),CONCATENATE("Last yr entrant ",G31," was ",VLOOKUP(G31,LastYrList!A:D,2,FALSE)," ",VLOOKUP(G31,LastYrList!A:D,3,FALSE)," of ",VLOOKUP(G31,LastYrList!A:D,4,FALSE),". Check spelling etc. &amp; Proceed only if same person!"),"")))</f>
        <v/>
      </c>
      <c r="AL31" t="str">
        <f t="shared" si="37"/>
        <v/>
      </c>
      <c r="AM31" t="str">
        <f t="shared" si="38"/>
        <v/>
      </c>
      <c r="AN31" t="str">
        <f>IF(OR(G31="y",G31="n",G31="",AK31&lt;&gt;""),"",IF(D31=VLOOKUP(G31,LastYrList!A:G,7,FALSE),"",IF(VLOOKUP(G31,LastYrList!A:G,7,FALSE)="","","Check Date of Birth (Inconsistent with last year); ")))</f>
        <v/>
      </c>
      <c r="AO31" t="str">
        <f>IF(OR(G31="",(ISERR(VALUE(G31)))),"",IF(F31=VLOOKUP(G31,LastYrList!A:G,5,FALSE),"",IF(VLOOKUP(G31,LastYrList!A:G,5,FALSE)="","","Check Member &amp; Last year Comp No. (Inconsistency with last year); ")))</f>
        <v/>
      </c>
      <c r="AP31" t="str">
        <f>IF(OR(G31="",G31="y",G31="n"),"",IF(E31=VLOOKUP(G31,LastYrList!A:G,6,FALSE),"","Check Gender (Inconsistent with last year); "))</f>
        <v/>
      </c>
      <c r="AQ31" t="str">
        <f t="shared" si="39"/>
        <v/>
      </c>
      <c r="AR31" t="str">
        <f t="shared" si="40"/>
        <v/>
      </c>
      <c r="AS31" t="str">
        <f t="shared" si="41"/>
        <v/>
      </c>
      <c r="AT31" t="str">
        <f t="shared" si="42"/>
        <v/>
      </c>
      <c r="AU31" t="str">
        <f t="shared" si="43"/>
        <v/>
      </c>
      <c r="AV31" t="str">
        <f t="shared" si="44"/>
        <v/>
      </c>
      <c r="AW31" t="str">
        <f t="shared" si="45"/>
        <v/>
      </c>
      <c r="AX31" t="str">
        <f t="shared" si="18"/>
        <v/>
      </c>
      <c r="AY31" t="str">
        <f t="shared" si="46"/>
        <v/>
      </c>
      <c r="AZ31" t="str">
        <f t="shared" si="47"/>
        <v/>
      </c>
      <c r="BA31" t="str">
        <f t="shared" si="48"/>
        <v/>
      </c>
      <c r="BB31" t="str">
        <f t="shared" si="49"/>
        <v/>
      </c>
      <c r="BC31" s="347" t="str">
        <f t="shared" si="50"/>
        <v/>
      </c>
      <c r="BD31" s="347">
        <f t="shared" si="51"/>
        <v>0</v>
      </c>
      <c r="BE31" s="346" t="str">
        <f t="shared" si="52"/>
        <v/>
      </c>
      <c r="BF31" s="346" t="str">
        <f t="shared" si="53"/>
        <v/>
      </c>
      <c r="BG31" s="206" t="str">
        <f>IF(ISNA(VLOOKUP(CONCATENATE('Entrant Data'!E18," ",'Entrant Data'!F18),LastYrList!$H:$J,2,FALSE)),"",IF(AND(OR(T(G31)&lt;&gt;"",G31=0),D31=VLOOKUP(CONCATENATE('Entrant Data'!E18," ",'Entrant Data'!F18),LastYrList!$H:$J,3,FALSE)),CONCATENATE('Entrant Data'!E18," ",'Entrant Data'!F18," was No. ",(VLOOKUP(CONCATENATE('Entrant Data'!E18," ",'Entrant Data'!F18),LastYrList!$H:$J,2,FALSE))," last year. "),""))</f>
        <v/>
      </c>
      <c r="BH31" s="186" t="str">
        <f t="shared" si="54"/>
        <v/>
      </c>
      <c r="BN31"/>
      <c r="BO31"/>
    </row>
    <row r="32" spans="1:67" ht="13.5" x14ac:dyDescent="0.25">
      <c r="A32" s="259">
        <v>32</v>
      </c>
      <c r="B32" s="60"/>
      <c r="C32" s="61"/>
      <c r="D32" s="62"/>
      <c r="E32" s="103"/>
      <c r="F32" s="63"/>
      <c r="G32" s="105"/>
      <c r="H32" s="105"/>
      <c r="I32" s="59"/>
      <c r="J32" s="59"/>
      <c r="K32" s="59"/>
      <c r="L32" s="59"/>
      <c r="M32" s="59"/>
      <c r="N32" s="59"/>
      <c r="O32" s="59"/>
      <c r="P32" s="59"/>
      <c r="Q32" s="59"/>
      <c r="R32" s="103"/>
      <c r="S32" s="59"/>
      <c r="T32" s="105"/>
      <c r="U32" s="402"/>
      <c r="V32" s="103"/>
      <c r="W32" s="59"/>
      <c r="X32" s="109"/>
      <c r="Y32" s="37" t="str">
        <f t="shared" si="26"/>
        <v/>
      </c>
      <c r="Z32" s="205" t="s">
        <v>266</v>
      </c>
      <c r="AA32" t="str">
        <f t="shared" si="27"/>
        <v>No Entrant</v>
      </c>
      <c r="AB32" s="27" t="str">
        <f t="shared" si="28"/>
        <v/>
      </c>
      <c r="AC32" s="211" t="str">
        <f t="shared" si="29"/>
        <v/>
      </c>
      <c r="AD32" s="211" t="str">
        <f t="shared" si="30"/>
        <v/>
      </c>
      <c r="AE32" s="27" t="str">
        <f t="shared" si="31"/>
        <v>Y2Share 0</v>
      </c>
      <c r="AF32" s="27" t="e">
        <f t="shared" si="32"/>
        <v>#VALUE!</v>
      </c>
      <c r="AG32" s="211" t="str">
        <f t="shared" si="33"/>
        <v/>
      </c>
      <c r="AH32" s="27" t="str">
        <f t="shared" si="34"/>
        <v>Y2Share 0</v>
      </c>
      <c r="AI32" s="27" t="e">
        <f t="shared" si="35"/>
        <v>#VALUE!</v>
      </c>
      <c r="AJ32" t="str">
        <f t="shared" si="36"/>
        <v/>
      </c>
      <c r="AK32" t="str">
        <f>IF(OR(G32="",G32="N",G32="Y"),"",IF(VLOOKUP(G32,LastYrList!A:D,2,FALSE)="Did Not Shoot","!!",IF(OR(VLOOKUP(G32,LastYrList!A:D,2,FALSE)&lt;&gt;'Entrant Data'!E19,VLOOKUP(G32,LastYrList!A:D,3,FALSE)&lt;&gt;'Entrant Data'!F19),CONCATENATE("Last yr entrant ",G32," was ",VLOOKUP(G32,LastYrList!A:D,2,FALSE)," ",VLOOKUP(G32,LastYrList!A:D,3,FALSE)," of ",VLOOKUP(G32,LastYrList!A:D,4,FALSE),". Check spelling etc. &amp; Proceed only if same person!"),"")))</f>
        <v/>
      </c>
      <c r="AL32" t="str">
        <f t="shared" si="37"/>
        <v/>
      </c>
      <c r="AM32" t="str">
        <f t="shared" si="38"/>
        <v/>
      </c>
      <c r="AN32" t="str">
        <f>IF(OR(G32="y",G32="n",G32="",AK32&lt;&gt;""),"",IF(D32=VLOOKUP(G32,LastYrList!A:G,7,FALSE),"",IF(VLOOKUP(G32,LastYrList!A:G,7,FALSE)="","","Check Date of Birth (Inconsistent with last year); ")))</f>
        <v/>
      </c>
      <c r="AO32" t="str">
        <f>IF(OR(G32="",(ISERR(VALUE(G32)))),"",IF(F32=VLOOKUP(G32,LastYrList!A:G,5,FALSE),"",IF(VLOOKUP(G32,LastYrList!A:G,5,FALSE)="","","Check Member &amp; Last year Comp No. (Inconsistency with last year); ")))</f>
        <v/>
      </c>
      <c r="AP32" t="str">
        <f>IF(OR(G32="",G32="y",G32="n"),"",IF(E32=VLOOKUP(G32,LastYrList!A:G,6,FALSE),"","Check Gender (Inconsistent with last year); "))</f>
        <v/>
      </c>
      <c r="AQ32" t="str">
        <f t="shared" si="39"/>
        <v/>
      </c>
      <c r="AR32" t="str">
        <f t="shared" si="40"/>
        <v/>
      </c>
      <c r="AS32" t="str">
        <f t="shared" si="41"/>
        <v/>
      </c>
      <c r="AT32" t="str">
        <f t="shared" si="42"/>
        <v/>
      </c>
      <c r="AU32" t="str">
        <f t="shared" si="43"/>
        <v/>
      </c>
      <c r="AV32" t="str">
        <f t="shared" si="44"/>
        <v/>
      </c>
      <c r="AW32" t="str">
        <f t="shared" si="45"/>
        <v/>
      </c>
      <c r="AX32" t="str">
        <f t="shared" si="18"/>
        <v/>
      </c>
      <c r="AY32" t="str">
        <f t="shared" si="46"/>
        <v/>
      </c>
      <c r="AZ32" t="str">
        <f t="shared" si="47"/>
        <v/>
      </c>
      <c r="BA32" t="str">
        <f t="shared" si="48"/>
        <v/>
      </c>
      <c r="BB32" t="str">
        <f t="shared" si="49"/>
        <v/>
      </c>
      <c r="BC32" s="347" t="str">
        <f t="shared" si="50"/>
        <v/>
      </c>
      <c r="BD32" s="347">
        <f t="shared" si="51"/>
        <v>0</v>
      </c>
      <c r="BE32" s="346" t="str">
        <f t="shared" si="52"/>
        <v/>
      </c>
      <c r="BF32" s="346" t="str">
        <f t="shared" si="53"/>
        <v/>
      </c>
      <c r="BG32" s="206" t="str">
        <f>IF(ISNA(VLOOKUP(CONCATENATE('Entrant Data'!E19," ",'Entrant Data'!F19),LastYrList!$H:$J,2,FALSE)),"",IF(AND(OR(T(G32)&lt;&gt;"",G32=0),D32=VLOOKUP(CONCATENATE('Entrant Data'!E19," ",'Entrant Data'!F19),LastYrList!$H:$J,3,FALSE)),CONCATENATE('Entrant Data'!E19," ",'Entrant Data'!F19," was No. ",(VLOOKUP(CONCATENATE('Entrant Data'!E19," ",'Entrant Data'!F19),LastYrList!$H:$J,2,FALSE))," last year. "),""))</f>
        <v/>
      </c>
      <c r="BH32" s="186" t="str">
        <f t="shared" si="54"/>
        <v/>
      </c>
      <c r="BN32"/>
      <c r="BO32"/>
    </row>
    <row r="33" spans="1:67" ht="13.5" x14ac:dyDescent="0.25">
      <c r="A33" s="259">
        <v>33</v>
      </c>
      <c r="B33" s="60"/>
      <c r="C33" s="61"/>
      <c r="D33" s="62"/>
      <c r="E33" s="103"/>
      <c r="F33" s="63"/>
      <c r="G33" s="105"/>
      <c r="H33" s="105"/>
      <c r="I33" s="59"/>
      <c r="J33" s="59"/>
      <c r="K33" s="59"/>
      <c r="L33" s="59"/>
      <c r="M33" s="59"/>
      <c r="N33" s="59"/>
      <c r="O33" s="59"/>
      <c r="P33" s="59"/>
      <c r="Q33" s="59"/>
      <c r="R33" s="103"/>
      <c r="S33" s="59"/>
      <c r="T33" s="105"/>
      <c r="U33" s="402"/>
      <c r="V33" s="103"/>
      <c r="W33" s="59"/>
      <c r="X33" s="109"/>
      <c r="Y33" s="37" t="str">
        <f t="shared" si="26"/>
        <v/>
      </c>
      <c r="Z33" s="205" t="s">
        <v>265</v>
      </c>
      <c r="AA33" t="str">
        <f t="shared" si="27"/>
        <v>No Entrant</v>
      </c>
      <c r="AB33" s="27" t="str">
        <f t="shared" si="28"/>
        <v/>
      </c>
      <c r="AC33" s="211" t="str">
        <f t="shared" si="29"/>
        <v/>
      </c>
      <c r="AD33" s="211" t="str">
        <f t="shared" si="30"/>
        <v/>
      </c>
      <c r="AE33" s="27" t="str">
        <f t="shared" si="31"/>
        <v>Y3Share 0</v>
      </c>
      <c r="AF33" s="27" t="e">
        <f t="shared" si="32"/>
        <v>#VALUE!</v>
      </c>
      <c r="AG33" s="211" t="str">
        <f t="shared" si="33"/>
        <v/>
      </c>
      <c r="AH33" s="27" t="str">
        <f t="shared" si="34"/>
        <v>Y3Share 0</v>
      </c>
      <c r="AI33" s="27" t="e">
        <f t="shared" si="35"/>
        <v>#VALUE!</v>
      </c>
      <c r="AJ33" t="str">
        <f t="shared" si="36"/>
        <v/>
      </c>
      <c r="AK33" t="str">
        <f>IF(OR(G33="",G33="N",G33="Y"),"",IF(VLOOKUP(G33,LastYrList!A:D,2,FALSE)="Did Not Shoot","!!",IF(OR(VLOOKUP(G33,LastYrList!A:D,2,FALSE)&lt;&gt;'Entrant Data'!E20,VLOOKUP(G33,LastYrList!A:D,3,FALSE)&lt;&gt;'Entrant Data'!F20),CONCATENATE("Last yr entrant ",G33," was ",VLOOKUP(G33,LastYrList!A:D,2,FALSE)," ",VLOOKUP(G33,LastYrList!A:D,3,FALSE)," of ",VLOOKUP(G33,LastYrList!A:D,4,FALSE),". Check spelling etc. &amp; Proceed only if same person!"),"")))</f>
        <v/>
      </c>
      <c r="AL33" t="str">
        <f t="shared" si="37"/>
        <v/>
      </c>
      <c r="AM33" t="str">
        <f t="shared" si="38"/>
        <v/>
      </c>
      <c r="AN33" t="str">
        <f>IF(OR(G33="y",G33="n",G33="",AK33&lt;&gt;""),"",IF(D33=VLOOKUP(G33,LastYrList!A:G,7,FALSE),"",IF(VLOOKUP(G33,LastYrList!A:G,7,FALSE)="","","Check Date of Birth (Inconsistent with last year); ")))</f>
        <v/>
      </c>
      <c r="AO33" t="str">
        <f>IF(OR(G33="",(ISERR(VALUE(G33)))),"",IF(F33=VLOOKUP(G33,LastYrList!A:G,5,FALSE),"",IF(VLOOKUP(G33,LastYrList!A:G,5,FALSE)="","","Check Member &amp; Last year Comp No. (Inconsistency with last year); ")))</f>
        <v/>
      </c>
      <c r="AP33" t="str">
        <f>IF(OR(G33="",G33="y",G33="n"),"",IF(E33=VLOOKUP(G33,LastYrList!A:G,6,FALSE),"","Check Gender (Inconsistent with last year); "))</f>
        <v/>
      </c>
      <c r="AQ33" t="str">
        <f t="shared" si="39"/>
        <v/>
      </c>
      <c r="AR33" t="str">
        <f t="shared" si="40"/>
        <v/>
      </c>
      <c r="AS33" t="str">
        <f t="shared" si="41"/>
        <v/>
      </c>
      <c r="AT33" t="str">
        <f t="shared" si="42"/>
        <v/>
      </c>
      <c r="AU33" t="str">
        <f t="shared" si="43"/>
        <v/>
      </c>
      <c r="AV33" t="str">
        <f t="shared" si="44"/>
        <v/>
      </c>
      <c r="AW33" t="str">
        <f t="shared" si="45"/>
        <v/>
      </c>
      <c r="AX33" t="str">
        <f t="shared" si="18"/>
        <v/>
      </c>
      <c r="AY33" t="str">
        <f t="shared" si="46"/>
        <v/>
      </c>
      <c r="AZ33" t="str">
        <f t="shared" si="47"/>
        <v/>
      </c>
      <c r="BA33" t="str">
        <f t="shared" si="48"/>
        <v/>
      </c>
      <c r="BB33" t="str">
        <f t="shared" si="49"/>
        <v/>
      </c>
      <c r="BC33" s="347" t="str">
        <f t="shared" si="50"/>
        <v/>
      </c>
      <c r="BD33" s="347">
        <f t="shared" si="51"/>
        <v>0</v>
      </c>
      <c r="BE33" s="346" t="str">
        <f t="shared" si="52"/>
        <v/>
      </c>
      <c r="BF33" s="346" t="str">
        <f t="shared" si="53"/>
        <v/>
      </c>
      <c r="BG33" s="206" t="str">
        <f>IF(ISNA(VLOOKUP(CONCATENATE('Entrant Data'!E20," ",'Entrant Data'!F20),LastYrList!$H:$J,2,FALSE)),"",IF(AND(OR(T(G33)&lt;&gt;"",G33=0),D33=VLOOKUP(CONCATENATE('Entrant Data'!E20," ",'Entrant Data'!F20),LastYrList!$H:$J,3,FALSE)),CONCATENATE('Entrant Data'!E20," ",'Entrant Data'!F20," was No. ",(VLOOKUP(CONCATENATE('Entrant Data'!E20," ",'Entrant Data'!F20),LastYrList!$H:$J,2,FALSE))," last year. "),""))</f>
        <v/>
      </c>
      <c r="BH33" s="186" t="str">
        <f t="shared" si="54"/>
        <v/>
      </c>
      <c r="BN33"/>
      <c r="BO33"/>
    </row>
    <row r="34" spans="1:67" ht="13.5" x14ac:dyDescent="0.25">
      <c r="A34" s="259">
        <v>34</v>
      </c>
      <c r="B34" s="60"/>
      <c r="C34" s="61"/>
      <c r="D34" s="62"/>
      <c r="E34" s="103"/>
      <c r="F34" s="63"/>
      <c r="G34" s="105"/>
      <c r="H34" s="105"/>
      <c r="I34" s="59"/>
      <c r="J34" s="59"/>
      <c r="K34" s="59"/>
      <c r="L34" s="59"/>
      <c r="M34" s="59"/>
      <c r="N34" s="59"/>
      <c r="O34" s="59"/>
      <c r="P34" s="59"/>
      <c r="Q34" s="59"/>
      <c r="R34" s="103"/>
      <c r="S34" s="59"/>
      <c r="T34" s="105"/>
      <c r="U34" s="402"/>
      <c r="V34" s="103"/>
      <c r="W34" s="59"/>
      <c r="X34" s="109"/>
      <c r="Y34" s="37" t="str">
        <f t="shared" si="26"/>
        <v/>
      </c>
      <c r="Z34" s="205" t="s">
        <v>264</v>
      </c>
      <c r="AA34" t="str">
        <f t="shared" si="27"/>
        <v>No Entrant</v>
      </c>
      <c r="AB34" s="27" t="str">
        <f t="shared" si="28"/>
        <v/>
      </c>
      <c r="AC34" s="211" t="str">
        <f t="shared" si="29"/>
        <v/>
      </c>
      <c r="AD34" s="211" t="str">
        <f t="shared" si="30"/>
        <v/>
      </c>
      <c r="AE34" s="27" t="str">
        <f t="shared" si="31"/>
        <v>Y4Share 0</v>
      </c>
      <c r="AF34" s="27" t="e">
        <f t="shared" si="32"/>
        <v>#VALUE!</v>
      </c>
      <c r="AG34" s="211" t="str">
        <f t="shared" si="33"/>
        <v/>
      </c>
      <c r="AH34" s="27" t="str">
        <f t="shared" si="34"/>
        <v>Y4Share 0</v>
      </c>
      <c r="AI34" s="27" t="e">
        <f t="shared" si="35"/>
        <v>#VALUE!</v>
      </c>
      <c r="AJ34" t="str">
        <f t="shared" si="36"/>
        <v/>
      </c>
      <c r="AK34" t="str">
        <f>IF(OR(G34="",G34="N",G34="Y"),"",IF(VLOOKUP(G34,LastYrList!A:D,2,FALSE)="Did Not Shoot","!!",IF(OR(VLOOKUP(G34,LastYrList!A:D,2,FALSE)&lt;&gt;'Entrant Data'!E21,VLOOKUP(G34,LastYrList!A:D,3,FALSE)&lt;&gt;'Entrant Data'!F21),CONCATENATE("Last yr entrant ",G34," was ",VLOOKUP(G34,LastYrList!A:D,2,FALSE)," ",VLOOKUP(G34,LastYrList!A:D,3,FALSE)," of ",VLOOKUP(G34,LastYrList!A:D,4,FALSE),". Check spelling etc. &amp; Proceed only if same person!"),"")))</f>
        <v/>
      </c>
      <c r="AL34" t="str">
        <f t="shared" si="37"/>
        <v/>
      </c>
      <c r="AM34" t="str">
        <f t="shared" si="38"/>
        <v/>
      </c>
      <c r="AN34" t="str">
        <f>IF(OR(G34="y",G34="n",G34="",AK34&lt;&gt;""),"",IF(D34=VLOOKUP(G34,LastYrList!A:G,7,FALSE),"",IF(VLOOKUP(G34,LastYrList!A:G,7,FALSE)="","","Check Date of Birth (Inconsistent with last year); ")))</f>
        <v/>
      </c>
      <c r="AO34" t="str">
        <f>IF(OR(G34="",(ISERR(VALUE(G34)))),"",IF(F34=VLOOKUP(G34,LastYrList!A:G,5,FALSE),"",IF(VLOOKUP(G34,LastYrList!A:G,5,FALSE)="","","Check Member &amp; Last year Comp No. (Inconsistency with last year); ")))</f>
        <v/>
      </c>
      <c r="AP34" t="str">
        <f>IF(OR(G34="",G34="y",G34="n"),"",IF(E34=VLOOKUP(G34,LastYrList!A:G,6,FALSE),"","Check Gender (Inconsistent with last year); "))</f>
        <v/>
      </c>
      <c r="AQ34" t="str">
        <f t="shared" si="39"/>
        <v/>
      </c>
      <c r="AR34" t="str">
        <f t="shared" si="40"/>
        <v/>
      </c>
      <c r="AS34" t="str">
        <f t="shared" si="41"/>
        <v/>
      </c>
      <c r="AT34" t="str">
        <f t="shared" si="42"/>
        <v/>
      </c>
      <c r="AU34" t="str">
        <f t="shared" si="43"/>
        <v/>
      </c>
      <c r="AV34" t="str">
        <f t="shared" si="44"/>
        <v/>
      </c>
      <c r="AW34" t="str">
        <f t="shared" si="45"/>
        <v/>
      </c>
      <c r="AX34" t="str">
        <f t="shared" si="18"/>
        <v/>
      </c>
      <c r="AY34" t="str">
        <f t="shared" si="46"/>
        <v/>
      </c>
      <c r="AZ34" t="str">
        <f t="shared" si="47"/>
        <v/>
      </c>
      <c r="BA34" t="str">
        <f t="shared" si="48"/>
        <v/>
      </c>
      <c r="BB34" t="str">
        <f t="shared" si="49"/>
        <v/>
      </c>
      <c r="BC34" s="347" t="str">
        <f t="shared" si="50"/>
        <v/>
      </c>
      <c r="BD34" s="347">
        <f t="shared" si="51"/>
        <v>0</v>
      </c>
      <c r="BE34" s="346" t="str">
        <f t="shared" si="52"/>
        <v/>
      </c>
      <c r="BF34" s="346" t="str">
        <f t="shared" si="53"/>
        <v/>
      </c>
      <c r="BG34" s="206" t="str">
        <f>IF(ISNA(VLOOKUP(CONCATENATE('Entrant Data'!E21," ",'Entrant Data'!F21),LastYrList!$H:$J,2,FALSE)),"",IF(AND(OR(T(G34)&lt;&gt;"",G34=0),D34=VLOOKUP(CONCATENATE('Entrant Data'!E21," ",'Entrant Data'!F21),LastYrList!$H:$J,3,FALSE)),CONCATENATE('Entrant Data'!E21," ",'Entrant Data'!F21," was No. ",(VLOOKUP(CONCATENATE('Entrant Data'!E21," ",'Entrant Data'!F21),LastYrList!$H:$J,2,FALSE))," last year. "),""))</f>
        <v/>
      </c>
      <c r="BH34" s="186" t="str">
        <f t="shared" si="54"/>
        <v/>
      </c>
      <c r="BN34"/>
      <c r="BO34"/>
    </row>
    <row r="35" spans="1:67" ht="13.5" x14ac:dyDescent="0.25">
      <c r="A35" s="259">
        <v>35</v>
      </c>
      <c r="B35" s="60"/>
      <c r="C35" s="61"/>
      <c r="D35" s="62"/>
      <c r="E35" s="103"/>
      <c r="F35" s="63"/>
      <c r="G35" s="105"/>
      <c r="H35" s="105"/>
      <c r="I35" s="59"/>
      <c r="J35" s="59"/>
      <c r="K35" s="59"/>
      <c r="L35" s="59"/>
      <c r="M35" s="59"/>
      <c r="N35" s="59"/>
      <c r="O35" s="59"/>
      <c r="P35" s="59"/>
      <c r="Q35" s="59"/>
      <c r="R35" s="103"/>
      <c r="S35" s="59"/>
      <c r="T35" s="105"/>
      <c r="U35" s="402"/>
      <c r="V35" s="103"/>
      <c r="W35" s="59"/>
      <c r="X35" s="109"/>
      <c r="Y35" s="37" t="str">
        <f t="shared" si="26"/>
        <v/>
      </c>
      <c r="Z35" s="205" t="s">
        <v>263</v>
      </c>
      <c r="AA35" t="str">
        <f t="shared" si="27"/>
        <v>No Entrant</v>
      </c>
      <c r="AB35" s="27" t="str">
        <f t="shared" si="28"/>
        <v/>
      </c>
      <c r="AC35" s="211" t="str">
        <f t="shared" si="29"/>
        <v/>
      </c>
      <c r="AD35" s="211" t="str">
        <f t="shared" si="30"/>
        <v/>
      </c>
      <c r="AE35" s="27" t="str">
        <f t="shared" si="31"/>
        <v>Y5Share 0</v>
      </c>
      <c r="AF35" s="27" t="e">
        <f t="shared" si="32"/>
        <v>#VALUE!</v>
      </c>
      <c r="AG35" s="211" t="str">
        <f t="shared" si="33"/>
        <v/>
      </c>
      <c r="AH35" s="27" t="str">
        <f t="shared" si="34"/>
        <v>Y5Share 0</v>
      </c>
      <c r="AI35" s="27" t="e">
        <f t="shared" si="35"/>
        <v>#VALUE!</v>
      </c>
      <c r="AJ35" t="str">
        <f t="shared" si="36"/>
        <v/>
      </c>
      <c r="AK35" t="str">
        <f>IF(OR(G35="",G35="N",G35="Y"),"",IF(VLOOKUP(G35,LastYrList!A:D,2,FALSE)="Did Not Shoot","!!",IF(OR(VLOOKUP(G35,LastYrList!A:D,2,FALSE)&lt;&gt;'Entrant Data'!E22,VLOOKUP(G35,LastYrList!A:D,3,FALSE)&lt;&gt;'Entrant Data'!F22),CONCATENATE("Last yr entrant ",G35," was ",VLOOKUP(G35,LastYrList!A:D,2,FALSE)," ",VLOOKUP(G35,LastYrList!A:D,3,FALSE)," of ",VLOOKUP(G35,LastYrList!A:D,4,FALSE),". Check spelling etc. &amp; Proceed only if same person!"),"")))</f>
        <v/>
      </c>
      <c r="AL35" t="str">
        <f t="shared" si="37"/>
        <v/>
      </c>
      <c r="AM35" t="str">
        <f t="shared" si="38"/>
        <v/>
      </c>
      <c r="AN35" t="str">
        <f>IF(OR(G35="y",G35="n",G35="",AK35&lt;&gt;""),"",IF(D35=VLOOKUP(G35,LastYrList!A:G,7,FALSE),"",IF(VLOOKUP(G35,LastYrList!A:G,7,FALSE)="","","Check Date of Birth (Inconsistent with last year); ")))</f>
        <v/>
      </c>
      <c r="AO35" t="str">
        <f>IF(OR(G35="",(ISERR(VALUE(G35)))),"",IF(F35=VLOOKUP(G35,LastYrList!A:G,5,FALSE),"",IF(VLOOKUP(G35,LastYrList!A:G,5,FALSE)="","","Check Member &amp; Last year Comp No. (Inconsistency with last year); ")))</f>
        <v/>
      </c>
      <c r="AP35" t="str">
        <f>IF(OR(G35="",G35="y",G35="n"),"",IF(E35=VLOOKUP(G35,LastYrList!A:G,6,FALSE),"","Check Gender (Inconsistent with last year); "))</f>
        <v/>
      </c>
      <c r="AQ35" t="str">
        <f t="shared" si="39"/>
        <v/>
      </c>
      <c r="AR35" t="str">
        <f t="shared" si="40"/>
        <v/>
      </c>
      <c r="AS35" t="str">
        <f t="shared" si="41"/>
        <v/>
      </c>
      <c r="AT35" t="str">
        <f t="shared" si="42"/>
        <v/>
      </c>
      <c r="AU35" t="str">
        <f t="shared" si="43"/>
        <v/>
      </c>
      <c r="AV35" t="str">
        <f t="shared" si="44"/>
        <v/>
      </c>
      <c r="AW35" t="str">
        <f t="shared" si="45"/>
        <v/>
      </c>
      <c r="AX35" t="str">
        <f t="shared" si="18"/>
        <v/>
      </c>
      <c r="AY35" t="str">
        <f t="shared" si="46"/>
        <v/>
      </c>
      <c r="AZ35" t="str">
        <f t="shared" si="47"/>
        <v/>
      </c>
      <c r="BA35" t="str">
        <f t="shared" si="48"/>
        <v/>
      </c>
      <c r="BB35" t="str">
        <f t="shared" si="49"/>
        <v/>
      </c>
      <c r="BC35" s="347" t="str">
        <f t="shared" si="50"/>
        <v/>
      </c>
      <c r="BD35" s="347">
        <f t="shared" si="51"/>
        <v>0</v>
      </c>
      <c r="BE35" s="346" t="str">
        <f t="shared" si="52"/>
        <v/>
      </c>
      <c r="BF35" s="346" t="str">
        <f t="shared" si="53"/>
        <v/>
      </c>
      <c r="BG35" s="206" t="str">
        <f>IF(ISNA(VLOOKUP(CONCATENATE('Entrant Data'!E22," ",'Entrant Data'!F22),LastYrList!$H:$J,2,FALSE)),"",IF(AND(OR(T(G35)&lt;&gt;"",G35=0),D35=VLOOKUP(CONCATENATE('Entrant Data'!E22," ",'Entrant Data'!F22),LastYrList!$H:$J,3,FALSE)),CONCATENATE('Entrant Data'!E22," ",'Entrant Data'!F22," was No. ",(VLOOKUP(CONCATENATE('Entrant Data'!E22," ",'Entrant Data'!F22),LastYrList!$H:$J,2,FALSE))," last year. "),""))</f>
        <v/>
      </c>
      <c r="BH35" s="186" t="str">
        <f t="shared" si="54"/>
        <v/>
      </c>
      <c r="BN35"/>
      <c r="BO35"/>
    </row>
    <row r="36" spans="1:67" ht="13.5" x14ac:dyDescent="0.25">
      <c r="A36" s="259">
        <v>36</v>
      </c>
      <c r="B36" s="60"/>
      <c r="C36" s="61"/>
      <c r="D36" s="62"/>
      <c r="E36" s="103"/>
      <c r="F36" s="63"/>
      <c r="G36" s="105"/>
      <c r="H36" s="105"/>
      <c r="I36" s="59"/>
      <c r="J36" s="59"/>
      <c r="K36" s="59"/>
      <c r="L36" s="59"/>
      <c r="M36" s="59"/>
      <c r="N36" s="59"/>
      <c r="O36" s="59"/>
      <c r="P36" s="59"/>
      <c r="Q36" s="59"/>
      <c r="R36" s="103"/>
      <c r="S36" s="59"/>
      <c r="T36" s="105"/>
      <c r="U36" s="402"/>
      <c r="V36" s="103"/>
      <c r="W36" s="59"/>
      <c r="X36" s="109"/>
      <c r="Y36" s="37" t="str">
        <f t="shared" si="26"/>
        <v/>
      </c>
      <c r="Z36" s="205" t="s">
        <v>262</v>
      </c>
      <c r="AA36" t="str">
        <f t="shared" si="27"/>
        <v>No Entrant</v>
      </c>
      <c r="AB36" s="27" t="str">
        <f t="shared" si="28"/>
        <v/>
      </c>
      <c r="AC36" s="211" t="str">
        <f t="shared" si="29"/>
        <v/>
      </c>
      <c r="AD36" s="211" t="str">
        <f t="shared" si="30"/>
        <v/>
      </c>
      <c r="AE36" s="27" t="str">
        <f t="shared" si="31"/>
        <v>Y6Share 0</v>
      </c>
      <c r="AF36" s="27" t="e">
        <f t="shared" si="32"/>
        <v>#VALUE!</v>
      </c>
      <c r="AG36" s="211" t="str">
        <f t="shared" si="33"/>
        <v/>
      </c>
      <c r="AH36" s="27" t="str">
        <f t="shared" si="34"/>
        <v>Y6Share 0</v>
      </c>
      <c r="AI36" s="27" t="e">
        <f t="shared" si="35"/>
        <v>#VALUE!</v>
      </c>
      <c r="AJ36" t="str">
        <f t="shared" si="36"/>
        <v/>
      </c>
      <c r="AK36" t="str">
        <f>IF(OR(G36="",G36="N",G36="Y"),"",IF(VLOOKUP(G36,LastYrList!A:D,2,FALSE)="Did Not Shoot","!!",IF(OR(VLOOKUP(G36,LastYrList!A:D,2,FALSE)&lt;&gt;'Entrant Data'!E23,VLOOKUP(G36,LastYrList!A:D,3,FALSE)&lt;&gt;'Entrant Data'!F23),CONCATENATE("Last yr entrant ",G36," was ",VLOOKUP(G36,LastYrList!A:D,2,FALSE)," ",VLOOKUP(G36,LastYrList!A:D,3,FALSE)," of ",VLOOKUP(G36,LastYrList!A:D,4,FALSE),". Check spelling etc. &amp; Proceed only if same person!"),"")))</f>
        <v/>
      </c>
      <c r="AL36" t="str">
        <f t="shared" si="37"/>
        <v/>
      </c>
      <c r="AM36" t="str">
        <f t="shared" si="38"/>
        <v/>
      </c>
      <c r="AN36" t="str">
        <f>IF(OR(G36="y",G36="n",G36="",AK36&lt;&gt;""),"",IF(D36=VLOOKUP(G36,LastYrList!A:G,7,FALSE),"",IF(VLOOKUP(G36,LastYrList!A:G,7,FALSE)="","","Check Date of Birth (Inconsistent with last year); ")))</f>
        <v/>
      </c>
      <c r="AO36" t="str">
        <f>IF(OR(G36="",(ISERR(VALUE(G36)))),"",IF(F36=VLOOKUP(G36,LastYrList!A:G,5,FALSE),"",IF(VLOOKUP(G36,LastYrList!A:G,5,FALSE)="","","Check Member &amp; Last year Comp No. (Inconsistency with last year); ")))</f>
        <v/>
      </c>
      <c r="AP36" t="str">
        <f>IF(OR(G36="",G36="y",G36="n"),"",IF(E36=VLOOKUP(G36,LastYrList!A:G,6,FALSE),"","Check Gender (Inconsistent with last year); "))</f>
        <v/>
      </c>
      <c r="AQ36" t="str">
        <f t="shared" si="39"/>
        <v/>
      </c>
      <c r="AR36" t="str">
        <f t="shared" si="40"/>
        <v/>
      </c>
      <c r="AS36" t="str">
        <f t="shared" si="41"/>
        <v/>
      </c>
      <c r="AT36" t="str">
        <f t="shared" si="42"/>
        <v/>
      </c>
      <c r="AU36" t="str">
        <f t="shared" si="43"/>
        <v/>
      </c>
      <c r="AV36" t="str">
        <f t="shared" si="44"/>
        <v/>
      </c>
      <c r="AW36" t="str">
        <f t="shared" si="45"/>
        <v/>
      </c>
      <c r="AX36" t="str">
        <f t="shared" si="18"/>
        <v/>
      </c>
      <c r="AY36" t="str">
        <f t="shared" si="46"/>
        <v/>
      </c>
      <c r="AZ36" t="str">
        <f t="shared" si="47"/>
        <v/>
      </c>
      <c r="BA36" t="str">
        <f t="shared" si="48"/>
        <v/>
      </c>
      <c r="BB36" t="str">
        <f t="shared" si="49"/>
        <v/>
      </c>
      <c r="BC36" s="347" t="str">
        <f t="shared" si="50"/>
        <v/>
      </c>
      <c r="BD36" s="347">
        <f t="shared" si="51"/>
        <v>0</v>
      </c>
      <c r="BE36" s="346" t="str">
        <f t="shared" si="52"/>
        <v/>
      </c>
      <c r="BF36" s="346" t="str">
        <f t="shared" si="53"/>
        <v/>
      </c>
      <c r="BG36" s="206" t="str">
        <f>IF(ISNA(VLOOKUP(CONCATENATE('Entrant Data'!E23," ",'Entrant Data'!F23),LastYrList!$H:$J,2,FALSE)),"",IF(AND(OR(T(G36)&lt;&gt;"",G36=0),D36=VLOOKUP(CONCATENATE('Entrant Data'!E23," ",'Entrant Data'!F23),LastYrList!$H:$J,3,FALSE)),CONCATENATE('Entrant Data'!E23," ",'Entrant Data'!F23," was No. ",(VLOOKUP(CONCATENATE('Entrant Data'!E23," ",'Entrant Data'!F23),LastYrList!$H:$J,2,FALSE))," last year. "),""))</f>
        <v/>
      </c>
      <c r="BH36" s="186" t="str">
        <f t="shared" si="54"/>
        <v/>
      </c>
      <c r="BN36"/>
      <c r="BO36"/>
    </row>
    <row r="37" spans="1:67" ht="13.5" x14ac:dyDescent="0.25">
      <c r="A37" s="259">
        <v>37</v>
      </c>
      <c r="B37" s="60"/>
      <c r="C37" s="61"/>
      <c r="D37" s="62"/>
      <c r="E37" s="103"/>
      <c r="F37" s="63"/>
      <c r="G37" s="105"/>
      <c r="H37" s="105"/>
      <c r="I37" s="59"/>
      <c r="J37" s="59"/>
      <c r="K37" s="59"/>
      <c r="L37" s="59"/>
      <c r="M37" s="59"/>
      <c r="N37" s="59"/>
      <c r="O37" s="59"/>
      <c r="P37" s="59"/>
      <c r="Q37" s="59"/>
      <c r="R37" s="103"/>
      <c r="S37" s="59"/>
      <c r="T37" s="105"/>
      <c r="U37" s="402"/>
      <c r="V37" s="103"/>
      <c r="W37" s="59"/>
      <c r="X37" s="109"/>
      <c r="Y37" s="37" t="str">
        <f t="shared" si="26"/>
        <v/>
      </c>
      <c r="Z37" s="205" t="s">
        <v>261</v>
      </c>
      <c r="AA37" t="str">
        <f t="shared" si="27"/>
        <v>No Entrant</v>
      </c>
      <c r="AB37" s="27" t="str">
        <f t="shared" si="28"/>
        <v/>
      </c>
      <c r="AC37" s="211" t="str">
        <f t="shared" si="29"/>
        <v/>
      </c>
      <c r="AD37" s="211" t="str">
        <f t="shared" si="30"/>
        <v/>
      </c>
      <c r="AE37" s="27" t="str">
        <f t="shared" si="31"/>
        <v>Y7Share 0</v>
      </c>
      <c r="AF37" s="27" t="e">
        <f t="shared" si="32"/>
        <v>#VALUE!</v>
      </c>
      <c r="AG37" s="211" t="str">
        <f t="shared" si="33"/>
        <v/>
      </c>
      <c r="AH37" s="27" t="str">
        <f t="shared" si="34"/>
        <v>Y7Share 0</v>
      </c>
      <c r="AI37" s="27" t="e">
        <f t="shared" si="35"/>
        <v>#VALUE!</v>
      </c>
      <c r="AJ37" t="str">
        <f t="shared" si="36"/>
        <v/>
      </c>
      <c r="AK37" t="str">
        <f>IF(OR(G37="",G37="N",G37="Y"),"",IF(VLOOKUP(G37,LastYrList!A:D,2,FALSE)="Did Not Shoot","!!",IF(OR(VLOOKUP(G37,LastYrList!A:D,2,FALSE)&lt;&gt;'Entrant Data'!E24,VLOOKUP(G37,LastYrList!A:D,3,FALSE)&lt;&gt;'Entrant Data'!F24),CONCATENATE("Last yr entrant ",G37," was ",VLOOKUP(G37,LastYrList!A:D,2,FALSE)," ",VLOOKUP(G37,LastYrList!A:D,3,FALSE)," of ",VLOOKUP(G37,LastYrList!A:D,4,FALSE),". Check spelling etc. &amp; Proceed only if same person!"),"")))</f>
        <v/>
      </c>
      <c r="AL37" t="str">
        <f t="shared" si="37"/>
        <v/>
      </c>
      <c r="AM37" t="str">
        <f t="shared" si="38"/>
        <v/>
      </c>
      <c r="AN37" t="str">
        <f>IF(OR(G37="y",G37="n",G37="",AK37&lt;&gt;""),"",IF(D37=VLOOKUP(G37,LastYrList!A:G,7,FALSE),"",IF(VLOOKUP(G37,LastYrList!A:G,7,FALSE)="","","Check Date of Birth (Inconsistent with last year); ")))</f>
        <v/>
      </c>
      <c r="AO37" t="str">
        <f>IF(OR(G37="",(ISERR(VALUE(G37)))),"",IF(F37=VLOOKUP(G37,LastYrList!A:G,5,FALSE),"",IF(VLOOKUP(G37,LastYrList!A:G,5,FALSE)="","","Check Member &amp; Last year Comp No. (Inconsistency with last year); ")))</f>
        <v/>
      </c>
      <c r="AP37" t="str">
        <f>IF(OR(G37="",G37="y",G37="n"),"",IF(E37=VLOOKUP(G37,LastYrList!A:G,6,FALSE),"","Check Gender (Inconsistent with last year); "))</f>
        <v/>
      </c>
      <c r="AQ37" t="str">
        <f t="shared" si="39"/>
        <v/>
      </c>
      <c r="AR37" t="str">
        <f t="shared" si="40"/>
        <v/>
      </c>
      <c r="AS37" t="str">
        <f t="shared" si="41"/>
        <v/>
      </c>
      <c r="AT37" t="str">
        <f t="shared" si="42"/>
        <v/>
      </c>
      <c r="AU37" t="str">
        <f t="shared" si="43"/>
        <v/>
      </c>
      <c r="AV37" t="str">
        <f t="shared" si="44"/>
        <v/>
      </c>
      <c r="AW37" t="str">
        <f t="shared" si="45"/>
        <v/>
      </c>
      <c r="AX37" t="str">
        <f t="shared" si="18"/>
        <v/>
      </c>
      <c r="AY37" t="str">
        <f t="shared" si="46"/>
        <v/>
      </c>
      <c r="AZ37" t="str">
        <f t="shared" si="47"/>
        <v/>
      </c>
      <c r="BA37" t="str">
        <f t="shared" si="48"/>
        <v/>
      </c>
      <c r="BB37" t="str">
        <f t="shared" si="49"/>
        <v/>
      </c>
      <c r="BC37" s="347" t="str">
        <f t="shared" si="50"/>
        <v/>
      </c>
      <c r="BD37" s="347">
        <f t="shared" si="51"/>
        <v>0</v>
      </c>
      <c r="BE37" s="346" t="str">
        <f t="shared" si="52"/>
        <v/>
      </c>
      <c r="BF37" s="346" t="str">
        <f t="shared" si="53"/>
        <v/>
      </c>
      <c r="BG37" s="206" t="str">
        <f>IF(ISNA(VLOOKUP(CONCATENATE('Entrant Data'!E24," ",'Entrant Data'!F24),LastYrList!$H:$J,2,FALSE)),"",IF(AND(OR(T(G37)&lt;&gt;"",G37=0),D37=VLOOKUP(CONCATENATE('Entrant Data'!E24," ",'Entrant Data'!F24),LastYrList!$H:$J,3,FALSE)),CONCATENATE('Entrant Data'!E24," ",'Entrant Data'!F24," was No. ",(VLOOKUP(CONCATENATE('Entrant Data'!E24," ",'Entrant Data'!F24),LastYrList!$H:$J,2,FALSE))," last year. "),""))</f>
        <v/>
      </c>
      <c r="BH37" s="186" t="str">
        <f t="shared" si="54"/>
        <v/>
      </c>
      <c r="BN37"/>
      <c r="BO37"/>
    </row>
    <row r="38" spans="1:67" ht="13.5" x14ac:dyDescent="0.25">
      <c r="A38" s="259">
        <v>38</v>
      </c>
      <c r="B38" s="60"/>
      <c r="C38" s="61"/>
      <c r="D38" s="62"/>
      <c r="E38" s="103"/>
      <c r="F38" s="63"/>
      <c r="G38" s="105"/>
      <c r="H38" s="105"/>
      <c r="I38" s="59"/>
      <c r="J38" s="59"/>
      <c r="K38" s="59"/>
      <c r="L38" s="59"/>
      <c r="M38" s="59"/>
      <c r="N38" s="59"/>
      <c r="O38" s="59"/>
      <c r="P38" s="59"/>
      <c r="Q38" s="59"/>
      <c r="R38" s="103"/>
      <c r="S38" s="59"/>
      <c r="T38" s="105"/>
      <c r="U38" s="402"/>
      <c r="V38" s="103"/>
      <c r="W38" s="59"/>
      <c r="X38" s="109"/>
      <c r="Y38" s="37" t="str">
        <f t="shared" si="26"/>
        <v/>
      </c>
      <c r="Z38" s="205" t="s">
        <v>260</v>
      </c>
      <c r="AA38" t="str">
        <f t="shared" si="27"/>
        <v>No Entrant</v>
      </c>
      <c r="AB38" s="27" t="str">
        <f t="shared" si="28"/>
        <v/>
      </c>
      <c r="AC38" s="211" t="str">
        <f t="shared" si="29"/>
        <v/>
      </c>
      <c r="AD38" s="211" t="str">
        <f t="shared" si="30"/>
        <v/>
      </c>
      <c r="AE38" s="27" t="str">
        <f t="shared" si="31"/>
        <v>Y8Share 0</v>
      </c>
      <c r="AF38" s="27" t="e">
        <f t="shared" si="32"/>
        <v>#VALUE!</v>
      </c>
      <c r="AG38" s="211" t="str">
        <f t="shared" si="33"/>
        <v/>
      </c>
      <c r="AH38" s="27" t="str">
        <f t="shared" si="34"/>
        <v>Y8Share 0</v>
      </c>
      <c r="AI38" s="27" t="e">
        <f t="shared" si="35"/>
        <v>#VALUE!</v>
      </c>
      <c r="AJ38" t="str">
        <f t="shared" si="36"/>
        <v/>
      </c>
      <c r="AK38" t="str">
        <f>IF(OR(G38="",G38="N",G38="Y"),"",IF(VLOOKUP(G38,LastYrList!A:D,2,FALSE)="Did Not Shoot","!!",IF(OR(VLOOKUP(G38,LastYrList!A:D,2,FALSE)&lt;&gt;'Entrant Data'!E25,VLOOKUP(G38,LastYrList!A:D,3,FALSE)&lt;&gt;'Entrant Data'!F25),CONCATENATE("Last yr entrant ",G38," was ",VLOOKUP(G38,LastYrList!A:D,2,FALSE)," ",VLOOKUP(G38,LastYrList!A:D,3,FALSE)," of ",VLOOKUP(G38,LastYrList!A:D,4,FALSE),". Check spelling etc. &amp; Proceed only if same person!"),"")))</f>
        <v/>
      </c>
      <c r="AL38" t="str">
        <f t="shared" si="37"/>
        <v/>
      </c>
      <c r="AM38" t="str">
        <f t="shared" si="38"/>
        <v/>
      </c>
      <c r="AN38" t="str">
        <f>IF(OR(G38="y",G38="n",G38="",AK38&lt;&gt;""),"",IF(D38=VLOOKUP(G38,LastYrList!A:G,7,FALSE),"",IF(VLOOKUP(G38,LastYrList!A:G,7,FALSE)="","","Check Date of Birth (Inconsistent with last year); ")))</f>
        <v/>
      </c>
      <c r="AO38" t="str">
        <f>IF(OR(G38="",(ISERR(VALUE(G38)))),"",IF(F38=VLOOKUP(G38,LastYrList!A:G,5,FALSE),"",IF(VLOOKUP(G38,LastYrList!A:G,5,FALSE)="","","Check Member &amp; Last year Comp No. (Inconsistency with last year); ")))</f>
        <v/>
      </c>
      <c r="AP38" t="str">
        <f>IF(OR(G38="",G38="y",G38="n"),"",IF(E38=VLOOKUP(G38,LastYrList!A:G,6,FALSE),"","Check Gender (Inconsistent with last year); "))</f>
        <v/>
      </c>
      <c r="AQ38" t="str">
        <f t="shared" si="39"/>
        <v/>
      </c>
      <c r="AR38" t="str">
        <f t="shared" si="40"/>
        <v/>
      </c>
      <c r="AS38" t="str">
        <f t="shared" si="41"/>
        <v/>
      </c>
      <c r="AT38" t="str">
        <f t="shared" si="42"/>
        <v/>
      </c>
      <c r="AU38" t="str">
        <f t="shared" si="43"/>
        <v/>
      </c>
      <c r="AV38" t="str">
        <f t="shared" si="44"/>
        <v/>
      </c>
      <c r="AW38" t="str">
        <f t="shared" si="45"/>
        <v/>
      </c>
      <c r="AX38" t="str">
        <f t="shared" si="18"/>
        <v/>
      </c>
      <c r="AY38" t="str">
        <f t="shared" si="46"/>
        <v/>
      </c>
      <c r="AZ38" t="str">
        <f t="shared" si="47"/>
        <v/>
      </c>
      <c r="BA38" t="str">
        <f t="shared" si="48"/>
        <v/>
      </c>
      <c r="BB38" t="str">
        <f t="shared" si="49"/>
        <v/>
      </c>
      <c r="BC38" s="347" t="str">
        <f t="shared" si="50"/>
        <v/>
      </c>
      <c r="BD38" s="347">
        <f t="shared" si="51"/>
        <v>0</v>
      </c>
      <c r="BE38" s="346" t="str">
        <f t="shared" si="52"/>
        <v/>
      </c>
      <c r="BF38" s="346" t="str">
        <f t="shared" si="53"/>
        <v/>
      </c>
      <c r="BG38" s="206" t="str">
        <f>IF(ISNA(VLOOKUP(CONCATENATE('Entrant Data'!E25," ",'Entrant Data'!F25),LastYrList!$H:$J,2,FALSE)),"",IF(AND(OR(T(G38)&lt;&gt;"",G38=0),D38=VLOOKUP(CONCATENATE('Entrant Data'!E25," ",'Entrant Data'!F25),LastYrList!$H:$J,3,FALSE)),CONCATENATE('Entrant Data'!E25," ",'Entrant Data'!F25," was No. ",(VLOOKUP(CONCATENATE('Entrant Data'!E25," ",'Entrant Data'!F25),LastYrList!$H:$J,2,FALSE))," last year. "),""))</f>
        <v/>
      </c>
      <c r="BH38" s="186" t="str">
        <f t="shared" si="54"/>
        <v/>
      </c>
      <c r="BN38"/>
      <c r="BO38"/>
    </row>
    <row r="39" spans="1:67" ht="13.5" x14ac:dyDescent="0.25">
      <c r="A39" s="259">
        <v>39</v>
      </c>
      <c r="B39" s="60"/>
      <c r="C39" s="61"/>
      <c r="D39" s="62"/>
      <c r="E39" s="103"/>
      <c r="F39" s="63"/>
      <c r="G39" s="105"/>
      <c r="H39" s="105"/>
      <c r="I39" s="59"/>
      <c r="J39" s="59"/>
      <c r="K39" s="59"/>
      <c r="L39" s="59"/>
      <c r="M39" s="59"/>
      <c r="N39" s="59"/>
      <c r="O39" s="59"/>
      <c r="P39" s="59"/>
      <c r="Q39" s="59"/>
      <c r="R39" s="103"/>
      <c r="S39" s="59"/>
      <c r="T39" s="105"/>
      <c r="U39" s="402"/>
      <c r="V39" s="103"/>
      <c r="W39" s="59"/>
      <c r="X39" s="109"/>
      <c r="Y39" s="37" t="str">
        <f t="shared" si="26"/>
        <v/>
      </c>
      <c r="Z39" s="205" t="s">
        <v>259</v>
      </c>
      <c r="AA39" t="str">
        <f t="shared" si="27"/>
        <v>No Entrant</v>
      </c>
      <c r="AB39" s="27" t="str">
        <f t="shared" si="28"/>
        <v/>
      </c>
      <c r="AC39" s="211" t="str">
        <f t="shared" si="29"/>
        <v/>
      </c>
      <c r="AD39" s="211" t="str">
        <f t="shared" si="30"/>
        <v/>
      </c>
      <c r="AE39" s="27" t="str">
        <f t="shared" si="31"/>
        <v>Y9Share 0</v>
      </c>
      <c r="AF39" s="27" t="e">
        <f t="shared" si="32"/>
        <v>#VALUE!</v>
      </c>
      <c r="AG39" s="211" t="str">
        <f t="shared" si="33"/>
        <v/>
      </c>
      <c r="AH39" s="27" t="str">
        <f t="shared" si="34"/>
        <v>Y9Share 0</v>
      </c>
      <c r="AI39" s="27" t="e">
        <f t="shared" si="35"/>
        <v>#VALUE!</v>
      </c>
      <c r="AJ39" t="str">
        <f t="shared" si="36"/>
        <v/>
      </c>
      <c r="AK39" t="str">
        <f>IF(OR(G39="",G39="N",G39="Y"),"",IF(VLOOKUP(G39,LastYrList!A:D,2,FALSE)="Did Not Shoot","!!",IF(OR(VLOOKUP(G39,LastYrList!A:D,2,FALSE)&lt;&gt;'Entrant Data'!E26,VLOOKUP(G39,LastYrList!A:D,3,FALSE)&lt;&gt;'Entrant Data'!F26),CONCATENATE("Last yr entrant ",G39," was ",VLOOKUP(G39,LastYrList!A:D,2,FALSE)," ",VLOOKUP(G39,LastYrList!A:D,3,FALSE)," of ",VLOOKUP(G39,LastYrList!A:D,4,FALSE),". Check spelling etc. &amp; Proceed only if same person!"),"")))</f>
        <v/>
      </c>
      <c r="AL39" t="str">
        <f t="shared" si="37"/>
        <v/>
      </c>
      <c r="AM39" t="str">
        <f t="shared" si="38"/>
        <v/>
      </c>
      <c r="AN39" t="str">
        <f>IF(OR(G39="y",G39="n",G39="",AK39&lt;&gt;""),"",IF(D39=VLOOKUP(G39,LastYrList!A:G,7,FALSE),"",IF(VLOOKUP(G39,LastYrList!A:G,7,FALSE)="","","Check Date of Birth (Inconsistent with last year); ")))</f>
        <v/>
      </c>
      <c r="AO39" t="str">
        <f>IF(OR(G39="",(ISERR(VALUE(G39)))),"",IF(F39=VLOOKUP(G39,LastYrList!A:G,5,FALSE),"",IF(VLOOKUP(G39,LastYrList!A:G,5,FALSE)="","","Check Member &amp; Last year Comp No. (Inconsistency with last year); ")))</f>
        <v/>
      </c>
      <c r="AP39" t="str">
        <f>IF(OR(G39="",G39="y",G39="n"),"",IF(E39=VLOOKUP(G39,LastYrList!A:G,6,FALSE),"","Check Gender (Inconsistent with last year); "))</f>
        <v/>
      </c>
      <c r="AQ39" t="str">
        <f t="shared" si="39"/>
        <v/>
      </c>
      <c r="AR39" t="str">
        <f t="shared" si="40"/>
        <v/>
      </c>
      <c r="AS39" t="str">
        <f t="shared" si="41"/>
        <v/>
      </c>
      <c r="AT39" t="str">
        <f t="shared" si="42"/>
        <v/>
      </c>
      <c r="AU39" t="str">
        <f t="shared" si="43"/>
        <v/>
      </c>
      <c r="AV39" t="str">
        <f t="shared" si="44"/>
        <v/>
      </c>
      <c r="AW39" t="str">
        <f t="shared" si="45"/>
        <v/>
      </c>
      <c r="AX39" t="str">
        <f t="shared" si="18"/>
        <v/>
      </c>
      <c r="AY39" t="str">
        <f t="shared" si="46"/>
        <v/>
      </c>
      <c r="AZ39" t="str">
        <f t="shared" si="47"/>
        <v/>
      </c>
      <c r="BA39" t="str">
        <f t="shared" si="48"/>
        <v/>
      </c>
      <c r="BB39" t="str">
        <f t="shared" si="49"/>
        <v/>
      </c>
      <c r="BC39" s="347" t="str">
        <f t="shared" si="50"/>
        <v/>
      </c>
      <c r="BD39" s="347">
        <f t="shared" si="51"/>
        <v>0</v>
      </c>
      <c r="BE39" s="346" t="str">
        <f t="shared" si="52"/>
        <v/>
      </c>
      <c r="BF39" s="346" t="str">
        <f t="shared" si="53"/>
        <v/>
      </c>
      <c r="BG39" s="206" t="str">
        <f>IF(ISNA(VLOOKUP(CONCATENATE('Entrant Data'!E26," ",'Entrant Data'!F26),LastYrList!$H:$J,2,FALSE)),"",IF(AND(OR(T(G39)&lt;&gt;"",G39=0),D39=VLOOKUP(CONCATENATE('Entrant Data'!E26," ",'Entrant Data'!F26),LastYrList!$H:$J,3,FALSE)),CONCATENATE('Entrant Data'!E26," ",'Entrant Data'!F26," was No. ",(VLOOKUP(CONCATENATE('Entrant Data'!E26," ",'Entrant Data'!F26),LastYrList!$H:$J,2,FALSE))," last year. "),""))</f>
        <v/>
      </c>
      <c r="BH39" s="186" t="str">
        <f t="shared" si="54"/>
        <v/>
      </c>
      <c r="BN39"/>
      <c r="BO39"/>
    </row>
    <row r="40" spans="1:67" ht="13.5" x14ac:dyDescent="0.25">
      <c r="A40" s="259">
        <v>40</v>
      </c>
      <c r="B40" s="60"/>
      <c r="C40" s="61"/>
      <c r="D40" s="62"/>
      <c r="E40" s="103"/>
      <c r="F40" s="63"/>
      <c r="G40" s="105"/>
      <c r="H40" s="105"/>
      <c r="I40" s="59"/>
      <c r="J40" s="59"/>
      <c r="K40" s="59"/>
      <c r="L40" s="59"/>
      <c r="M40" s="59"/>
      <c r="N40" s="59"/>
      <c r="O40" s="59"/>
      <c r="P40" s="59"/>
      <c r="Q40" s="59"/>
      <c r="R40" s="103"/>
      <c r="S40" s="59"/>
      <c r="T40" s="105"/>
      <c r="U40" s="402"/>
      <c r="V40" s="103"/>
      <c r="W40" s="59"/>
      <c r="X40" s="109"/>
      <c r="Y40" s="37" t="str">
        <f t="shared" si="26"/>
        <v/>
      </c>
      <c r="Z40" s="205" t="s">
        <v>258</v>
      </c>
      <c r="AA40" t="str">
        <f t="shared" si="27"/>
        <v>No Entrant</v>
      </c>
      <c r="AB40" s="27" t="str">
        <f t="shared" si="28"/>
        <v/>
      </c>
      <c r="AC40" s="211" t="str">
        <f t="shared" si="29"/>
        <v/>
      </c>
      <c r="AD40" s="211" t="str">
        <f t="shared" si="30"/>
        <v/>
      </c>
      <c r="AE40" s="27" t="str">
        <f t="shared" si="31"/>
        <v>Y10Share 0</v>
      </c>
      <c r="AF40" s="27" t="e">
        <f t="shared" si="32"/>
        <v>#VALUE!</v>
      </c>
      <c r="AG40" s="211" t="str">
        <f t="shared" si="33"/>
        <v/>
      </c>
      <c r="AH40" s="27" t="str">
        <f t="shared" si="34"/>
        <v>Y10Share 0</v>
      </c>
      <c r="AI40" s="27" t="e">
        <f t="shared" si="35"/>
        <v>#VALUE!</v>
      </c>
      <c r="AJ40" t="str">
        <f t="shared" si="36"/>
        <v/>
      </c>
      <c r="AK40" t="str">
        <f>IF(OR(G40="",G40="N",G40="Y"),"",IF(VLOOKUP(G40,LastYrList!A:D,2,FALSE)="Did Not Shoot","!!",IF(OR(VLOOKUP(G40,LastYrList!A:D,2,FALSE)&lt;&gt;'Entrant Data'!E27,VLOOKUP(G40,LastYrList!A:D,3,FALSE)&lt;&gt;'Entrant Data'!F27),CONCATENATE("Last yr entrant ",G40," was ",VLOOKUP(G40,LastYrList!A:D,2,FALSE)," ",VLOOKUP(G40,LastYrList!A:D,3,FALSE)," of ",VLOOKUP(G40,LastYrList!A:D,4,FALSE),". Check spelling etc. &amp; Proceed only if same person!"),"")))</f>
        <v/>
      </c>
      <c r="AL40" t="str">
        <f t="shared" si="37"/>
        <v/>
      </c>
      <c r="AM40" t="str">
        <f t="shared" si="38"/>
        <v/>
      </c>
      <c r="AN40" t="str">
        <f>IF(OR(G40="y",G40="n",G40="",AK40&lt;&gt;""),"",IF(D40=VLOOKUP(G40,LastYrList!A:G,7,FALSE),"",IF(VLOOKUP(G40,LastYrList!A:G,7,FALSE)="","","Check Date of Birth (Inconsistent with last year); ")))</f>
        <v/>
      </c>
      <c r="AO40" t="str">
        <f>IF(OR(G40="",(ISERR(VALUE(G40)))),"",IF(F40=VLOOKUP(G40,LastYrList!A:G,5,FALSE),"",IF(VLOOKUP(G40,LastYrList!A:G,5,FALSE)="","","Check Member &amp; Last year Comp No. (Inconsistency with last year); ")))</f>
        <v/>
      </c>
      <c r="AP40" t="str">
        <f>IF(OR(G40="",G40="y",G40="n"),"",IF(E40=VLOOKUP(G40,LastYrList!A:G,6,FALSE),"","Check Gender (Inconsistent with last year); "))</f>
        <v/>
      </c>
      <c r="AQ40" t="str">
        <f t="shared" si="39"/>
        <v/>
      </c>
      <c r="AR40" t="str">
        <f t="shared" si="40"/>
        <v/>
      </c>
      <c r="AS40" t="str">
        <f t="shared" si="41"/>
        <v/>
      </c>
      <c r="AT40" t="str">
        <f t="shared" si="42"/>
        <v/>
      </c>
      <c r="AU40" t="str">
        <f t="shared" si="43"/>
        <v/>
      </c>
      <c r="AV40" t="str">
        <f t="shared" si="44"/>
        <v/>
      </c>
      <c r="AW40" t="str">
        <f t="shared" si="45"/>
        <v/>
      </c>
      <c r="AX40" t="str">
        <f t="shared" si="18"/>
        <v/>
      </c>
      <c r="AY40" t="str">
        <f t="shared" si="46"/>
        <v/>
      </c>
      <c r="AZ40" t="str">
        <f t="shared" si="47"/>
        <v/>
      </c>
      <c r="BA40" t="str">
        <f t="shared" si="48"/>
        <v/>
      </c>
      <c r="BB40" t="str">
        <f t="shared" si="49"/>
        <v/>
      </c>
      <c r="BC40" s="347" t="str">
        <f t="shared" si="50"/>
        <v/>
      </c>
      <c r="BD40" s="347">
        <f t="shared" si="51"/>
        <v>0</v>
      </c>
      <c r="BE40" s="346" t="str">
        <f t="shared" si="52"/>
        <v/>
      </c>
      <c r="BF40" s="346" t="str">
        <f t="shared" si="53"/>
        <v/>
      </c>
      <c r="BG40" s="206" t="str">
        <f>IF(ISNA(VLOOKUP(CONCATENATE('Entrant Data'!E27," ",'Entrant Data'!F27),LastYrList!$H:$J,2,FALSE)),"",IF(AND(OR(T(G40)&lt;&gt;"",G40=0),D40=VLOOKUP(CONCATENATE('Entrant Data'!E27," ",'Entrant Data'!F27),LastYrList!$H:$J,3,FALSE)),CONCATENATE('Entrant Data'!E27," ",'Entrant Data'!F27," was No. ",(VLOOKUP(CONCATENATE('Entrant Data'!E27," ",'Entrant Data'!F27),LastYrList!$H:$J,2,FALSE))," last year. "),""))</f>
        <v/>
      </c>
      <c r="BH40" s="186" t="str">
        <f t="shared" si="54"/>
        <v/>
      </c>
      <c r="BN40"/>
      <c r="BO40"/>
    </row>
    <row r="41" spans="1:67" ht="13.5" x14ac:dyDescent="0.25">
      <c r="A41" s="259">
        <v>41</v>
      </c>
      <c r="B41" s="60"/>
      <c r="C41" s="61"/>
      <c r="D41" s="62"/>
      <c r="E41" s="103"/>
      <c r="F41" s="63"/>
      <c r="G41" s="105"/>
      <c r="H41" s="105"/>
      <c r="I41" s="59"/>
      <c r="J41" s="59"/>
      <c r="K41" s="59"/>
      <c r="L41" s="59"/>
      <c r="M41" s="59"/>
      <c r="N41" s="59"/>
      <c r="O41" s="59"/>
      <c r="P41" s="59"/>
      <c r="Q41" s="59"/>
      <c r="R41" s="103"/>
      <c r="S41" s="59"/>
      <c r="T41" s="105"/>
      <c r="U41" s="402"/>
      <c r="V41" s="103"/>
      <c r="W41" s="59"/>
      <c r="X41" s="109"/>
      <c r="Y41" s="37" t="str">
        <f t="shared" si="26"/>
        <v/>
      </c>
      <c r="Z41" s="205" t="s">
        <v>257</v>
      </c>
      <c r="AA41" t="str">
        <f t="shared" si="27"/>
        <v>No Entrant</v>
      </c>
      <c r="AB41" s="27" t="str">
        <f t="shared" si="28"/>
        <v/>
      </c>
      <c r="AC41" s="211" t="str">
        <f t="shared" si="29"/>
        <v/>
      </c>
      <c r="AD41" s="211" t="str">
        <f t="shared" si="30"/>
        <v/>
      </c>
      <c r="AE41" s="27" t="str">
        <f t="shared" si="31"/>
        <v>Y11Share 0</v>
      </c>
      <c r="AF41" s="27" t="e">
        <f t="shared" si="32"/>
        <v>#VALUE!</v>
      </c>
      <c r="AG41" s="211" t="str">
        <f t="shared" si="33"/>
        <v/>
      </c>
      <c r="AH41" s="27" t="str">
        <f t="shared" si="34"/>
        <v>Y11Share 0</v>
      </c>
      <c r="AI41" s="27" t="e">
        <f t="shared" si="35"/>
        <v>#VALUE!</v>
      </c>
      <c r="AJ41" t="str">
        <f t="shared" si="36"/>
        <v/>
      </c>
      <c r="AK41" t="str">
        <f>IF(OR(G41="",G41="N",G41="Y"),"",IF(VLOOKUP(G41,LastYrList!A:D,2,FALSE)="Did Not Shoot","!!",IF(OR(VLOOKUP(G41,LastYrList!A:D,2,FALSE)&lt;&gt;'Entrant Data'!E28,VLOOKUP(G41,LastYrList!A:D,3,FALSE)&lt;&gt;'Entrant Data'!F28),CONCATENATE("Last yr entrant ",G41," was ",VLOOKUP(G41,LastYrList!A:D,2,FALSE)," ",VLOOKUP(G41,LastYrList!A:D,3,FALSE)," of ",VLOOKUP(G41,LastYrList!A:D,4,FALSE),". Check spelling etc. &amp; Proceed only if same person!"),"")))</f>
        <v/>
      </c>
      <c r="AL41" t="str">
        <f t="shared" si="37"/>
        <v/>
      </c>
      <c r="AM41" t="str">
        <f t="shared" si="38"/>
        <v/>
      </c>
      <c r="AN41" t="str">
        <f>IF(OR(G41="y",G41="n",G41="",AK41&lt;&gt;""),"",IF(D41=VLOOKUP(G41,LastYrList!A:G,7,FALSE),"",IF(VLOOKUP(G41,LastYrList!A:G,7,FALSE)="","","Check Date of Birth (Inconsistent with last year); ")))</f>
        <v/>
      </c>
      <c r="AO41" t="str">
        <f>IF(OR(G41="",(ISERR(VALUE(G41)))),"",IF(F41=VLOOKUP(G41,LastYrList!A:G,5,FALSE),"",IF(VLOOKUP(G41,LastYrList!A:G,5,FALSE)="","","Check Member &amp; Last year Comp No. (Inconsistency with last year); ")))</f>
        <v/>
      </c>
      <c r="AP41" t="str">
        <f>IF(OR(G41="",G41="y",G41="n"),"",IF(E41=VLOOKUP(G41,LastYrList!A:G,6,FALSE),"","Check Gender (Inconsistent with last year); "))</f>
        <v/>
      </c>
      <c r="AQ41" t="str">
        <f t="shared" si="39"/>
        <v/>
      </c>
      <c r="AR41" t="str">
        <f t="shared" si="40"/>
        <v/>
      </c>
      <c r="AS41" t="str">
        <f t="shared" si="41"/>
        <v/>
      </c>
      <c r="AT41" t="str">
        <f t="shared" si="42"/>
        <v/>
      </c>
      <c r="AU41" t="str">
        <f t="shared" si="43"/>
        <v/>
      </c>
      <c r="AV41" t="str">
        <f t="shared" si="44"/>
        <v/>
      </c>
      <c r="AW41" t="str">
        <f t="shared" si="45"/>
        <v/>
      </c>
      <c r="AX41" t="str">
        <f t="shared" si="18"/>
        <v/>
      </c>
      <c r="AY41" t="str">
        <f t="shared" si="46"/>
        <v/>
      </c>
      <c r="AZ41" t="str">
        <f t="shared" si="47"/>
        <v/>
      </c>
      <c r="BA41" t="str">
        <f t="shared" si="48"/>
        <v/>
      </c>
      <c r="BB41" t="str">
        <f t="shared" si="49"/>
        <v/>
      </c>
      <c r="BC41" s="347" t="str">
        <f t="shared" si="50"/>
        <v/>
      </c>
      <c r="BD41" s="347">
        <f t="shared" si="51"/>
        <v>0</v>
      </c>
      <c r="BE41" s="346" t="str">
        <f t="shared" si="52"/>
        <v/>
      </c>
      <c r="BF41" s="346" t="str">
        <f t="shared" si="53"/>
        <v/>
      </c>
      <c r="BG41" s="206" t="str">
        <f>IF(ISNA(VLOOKUP(CONCATENATE('Entrant Data'!E28," ",'Entrant Data'!F28),LastYrList!$H:$J,2,FALSE)),"",IF(AND(OR(T(G41)&lt;&gt;"",G41=0),D41=VLOOKUP(CONCATENATE('Entrant Data'!E28," ",'Entrant Data'!F28),LastYrList!$H:$J,3,FALSE)),CONCATENATE('Entrant Data'!E28," ",'Entrant Data'!F28," was No. ",(VLOOKUP(CONCATENATE('Entrant Data'!E28," ",'Entrant Data'!F28),LastYrList!$H:$J,2,FALSE))," last year. "),""))</f>
        <v/>
      </c>
      <c r="BH41" s="186" t="str">
        <f t="shared" si="54"/>
        <v/>
      </c>
      <c r="BN41"/>
      <c r="BO41"/>
    </row>
    <row r="42" spans="1:67" ht="13.5" x14ac:dyDescent="0.25">
      <c r="A42" s="259">
        <v>42</v>
      </c>
      <c r="B42" s="60"/>
      <c r="C42" s="61"/>
      <c r="D42" s="62"/>
      <c r="E42" s="103"/>
      <c r="F42" s="63"/>
      <c r="G42" s="105"/>
      <c r="H42" s="105"/>
      <c r="I42" s="59"/>
      <c r="J42" s="59"/>
      <c r="K42" s="59"/>
      <c r="L42" s="59"/>
      <c r="M42" s="59"/>
      <c r="N42" s="59"/>
      <c r="O42" s="59"/>
      <c r="P42" s="59"/>
      <c r="Q42" s="59"/>
      <c r="R42" s="103"/>
      <c r="S42" s="59"/>
      <c r="T42" s="105"/>
      <c r="U42" s="402"/>
      <c r="V42" s="103"/>
      <c r="W42" s="59"/>
      <c r="X42" s="109"/>
      <c r="Y42" s="37" t="str">
        <f t="shared" si="26"/>
        <v/>
      </c>
      <c r="Z42" s="205" t="s">
        <v>256</v>
      </c>
      <c r="AA42" t="str">
        <f t="shared" si="27"/>
        <v>No Entrant</v>
      </c>
      <c r="AB42" s="27" t="str">
        <f t="shared" si="28"/>
        <v/>
      </c>
      <c r="AC42" s="211" t="str">
        <f t="shared" si="29"/>
        <v/>
      </c>
      <c r="AD42" s="211" t="str">
        <f t="shared" si="30"/>
        <v/>
      </c>
      <c r="AE42" s="27" t="str">
        <f t="shared" si="31"/>
        <v>Y12Share 0</v>
      </c>
      <c r="AF42" s="27" t="e">
        <f t="shared" si="32"/>
        <v>#VALUE!</v>
      </c>
      <c r="AG42" s="211" t="str">
        <f t="shared" si="33"/>
        <v/>
      </c>
      <c r="AH42" s="27" t="str">
        <f t="shared" si="34"/>
        <v>Y12Share 0</v>
      </c>
      <c r="AI42" s="27" t="e">
        <f t="shared" si="35"/>
        <v>#VALUE!</v>
      </c>
      <c r="AJ42" t="str">
        <f t="shared" si="36"/>
        <v/>
      </c>
      <c r="AK42" t="str">
        <f>IF(OR(G42="",G42="N",G42="Y"),"",IF(VLOOKUP(G42,LastYrList!A:D,2,FALSE)="Did Not Shoot","!!",IF(OR(VLOOKUP(G42,LastYrList!A:D,2,FALSE)&lt;&gt;'Entrant Data'!E29,VLOOKUP(G42,LastYrList!A:D,3,FALSE)&lt;&gt;'Entrant Data'!F29),CONCATENATE("Last yr entrant ",G42," was ",VLOOKUP(G42,LastYrList!A:D,2,FALSE)," ",VLOOKUP(G42,LastYrList!A:D,3,FALSE)," of ",VLOOKUP(G42,LastYrList!A:D,4,FALSE),". Check spelling etc. &amp; Proceed only if same person!"),"")))</f>
        <v/>
      </c>
      <c r="AL42" t="str">
        <f t="shared" si="37"/>
        <v/>
      </c>
      <c r="AM42" t="str">
        <f t="shared" si="38"/>
        <v/>
      </c>
      <c r="AN42" t="str">
        <f>IF(OR(G42="y",G42="n",G42="",AK42&lt;&gt;""),"",IF(D42=VLOOKUP(G42,LastYrList!A:G,7,FALSE),"",IF(VLOOKUP(G42,LastYrList!A:G,7,FALSE)="","","Check Date of Birth (Inconsistent with last year); ")))</f>
        <v/>
      </c>
      <c r="AO42" t="str">
        <f>IF(OR(G42="",(ISERR(VALUE(G42)))),"",IF(F42=VLOOKUP(G42,LastYrList!A:G,5,FALSE),"",IF(VLOOKUP(G42,LastYrList!A:G,5,FALSE)="","","Check Member &amp; Last year Comp No. (Inconsistency with last year); ")))</f>
        <v/>
      </c>
      <c r="AP42" t="str">
        <f>IF(OR(G42="",G42="y",G42="n"),"",IF(E42=VLOOKUP(G42,LastYrList!A:G,6,FALSE),"","Check Gender (Inconsistent with last year); "))</f>
        <v/>
      </c>
      <c r="AQ42" t="str">
        <f t="shared" si="39"/>
        <v/>
      </c>
      <c r="AR42" t="str">
        <f t="shared" si="40"/>
        <v/>
      </c>
      <c r="AS42" t="str">
        <f t="shared" si="41"/>
        <v/>
      </c>
      <c r="AT42" t="str">
        <f t="shared" si="42"/>
        <v/>
      </c>
      <c r="AU42" t="str">
        <f t="shared" si="43"/>
        <v/>
      </c>
      <c r="AV42" t="str">
        <f t="shared" si="44"/>
        <v/>
      </c>
      <c r="AW42" t="str">
        <f t="shared" si="45"/>
        <v/>
      </c>
      <c r="AX42" t="str">
        <f t="shared" si="18"/>
        <v/>
      </c>
      <c r="AY42" t="str">
        <f t="shared" si="46"/>
        <v/>
      </c>
      <c r="AZ42" t="str">
        <f t="shared" si="47"/>
        <v/>
      </c>
      <c r="BA42" t="str">
        <f t="shared" si="48"/>
        <v/>
      </c>
      <c r="BB42" t="str">
        <f t="shared" si="49"/>
        <v/>
      </c>
      <c r="BC42" s="347" t="str">
        <f t="shared" si="50"/>
        <v/>
      </c>
      <c r="BD42" s="347">
        <f t="shared" si="51"/>
        <v>0</v>
      </c>
      <c r="BE42" s="346" t="str">
        <f t="shared" si="52"/>
        <v/>
      </c>
      <c r="BF42" s="346" t="str">
        <f t="shared" si="53"/>
        <v/>
      </c>
      <c r="BG42" s="206" t="str">
        <f>IF(ISNA(VLOOKUP(CONCATENATE('Entrant Data'!E29," ",'Entrant Data'!F29),LastYrList!$H:$J,2,FALSE)),"",IF(AND(OR(T(G42)&lt;&gt;"",G42=0),D42=VLOOKUP(CONCATENATE('Entrant Data'!E29," ",'Entrant Data'!F29),LastYrList!$H:$J,3,FALSE)),CONCATENATE('Entrant Data'!E29," ",'Entrant Data'!F29," was No. ",(VLOOKUP(CONCATENATE('Entrant Data'!E29," ",'Entrant Data'!F29),LastYrList!$H:$J,2,FALSE))," last year. "),""))</f>
        <v/>
      </c>
      <c r="BH42" s="186" t="str">
        <f t="shared" si="54"/>
        <v/>
      </c>
      <c r="BN42"/>
      <c r="BO42"/>
    </row>
    <row r="43" spans="1:67" ht="14.25" thickBot="1" x14ac:dyDescent="0.3">
      <c r="A43" s="259">
        <v>43</v>
      </c>
      <c r="B43" s="64"/>
      <c r="C43" s="65"/>
      <c r="D43" s="66"/>
      <c r="E43" s="104"/>
      <c r="F43" s="68"/>
      <c r="G43" s="106"/>
      <c r="H43" s="106"/>
      <c r="I43" s="67"/>
      <c r="J43" s="67"/>
      <c r="K43" s="67"/>
      <c r="L43" s="67"/>
      <c r="M43" s="67"/>
      <c r="N43" s="67"/>
      <c r="O43" s="67"/>
      <c r="P43" s="67"/>
      <c r="Q43" s="67"/>
      <c r="R43" s="104"/>
      <c r="S43" s="67"/>
      <c r="T43" s="106"/>
      <c r="U43" s="403"/>
      <c r="V43" s="104"/>
      <c r="W43" s="67"/>
      <c r="X43" s="110"/>
      <c r="Y43" s="37" t="str">
        <f t="shared" si="26"/>
        <v/>
      </c>
      <c r="Z43" s="205" t="s">
        <v>244</v>
      </c>
      <c r="AA43" t="str">
        <f t="shared" si="27"/>
        <v>No Entrant</v>
      </c>
      <c r="AB43" s="27" t="str">
        <f t="shared" si="28"/>
        <v/>
      </c>
      <c r="AC43" s="211" t="str">
        <f t="shared" si="29"/>
        <v/>
      </c>
      <c r="AD43" s="211" t="str">
        <f t="shared" si="30"/>
        <v/>
      </c>
      <c r="AE43" s="27" t="str">
        <f t="shared" si="31"/>
        <v>Y13Share 0</v>
      </c>
      <c r="AF43" s="27" t="e">
        <f t="shared" si="32"/>
        <v>#VALUE!</v>
      </c>
      <c r="AG43" s="211" t="str">
        <f t="shared" si="33"/>
        <v/>
      </c>
      <c r="AH43" s="27" t="str">
        <f t="shared" si="34"/>
        <v>Y13Share 0</v>
      </c>
      <c r="AI43" s="27" t="e">
        <f t="shared" si="35"/>
        <v>#VALUE!</v>
      </c>
      <c r="AJ43" t="str">
        <f t="shared" si="36"/>
        <v/>
      </c>
      <c r="AK43" t="str">
        <f>IF(OR(G43="",G43="N",G43="Y"),"",IF(VLOOKUP(G43,LastYrList!A:D,2,FALSE)="Did Not Shoot","!!",IF(OR(VLOOKUP(G43,LastYrList!A:D,2,FALSE)&lt;&gt;'Entrant Data'!E30,VLOOKUP(G43,LastYrList!A:D,3,FALSE)&lt;&gt;'Entrant Data'!F30),CONCATENATE("Last yr entrant ",G43," was ",VLOOKUP(G43,LastYrList!A:D,2,FALSE)," ",VLOOKUP(G43,LastYrList!A:D,3,FALSE)," of ",VLOOKUP(G43,LastYrList!A:D,4,FALSE),". Check spelling etc. &amp; Proceed only if same person!"),"")))</f>
        <v/>
      </c>
      <c r="AL43" t="str">
        <f t="shared" si="37"/>
        <v/>
      </c>
      <c r="AM43" t="str">
        <f t="shared" si="38"/>
        <v/>
      </c>
      <c r="AN43" t="str">
        <f>IF(OR(G43="y",G43="n",G43="",AK43&lt;&gt;""),"",IF(D43=VLOOKUP(G43,LastYrList!A:G,7,FALSE),"",IF(VLOOKUP(G43,LastYrList!A:G,7,FALSE)="","","Check Date of Birth (Inconsistent with last year); ")))</f>
        <v/>
      </c>
      <c r="AO43" t="str">
        <f>IF(OR(G43="",(ISERR(VALUE(G43)))),"",IF(F43=VLOOKUP(G43,LastYrList!A:G,5,FALSE),"",IF(VLOOKUP(G43,LastYrList!A:G,5,FALSE)="","","Check Member &amp; Last year Comp No. (Inconsistency with last year); ")))</f>
        <v/>
      </c>
      <c r="AP43" t="str">
        <f>IF(OR(G43="",G43="y",G43="n"),"",IF(E43=VLOOKUP(G43,LastYrList!A:G,6,FALSE),"","Check Gender (Inconsistent with last year); "))</f>
        <v/>
      </c>
      <c r="AQ43" t="str">
        <f t="shared" si="39"/>
        <v/>
      </c>
      <c r="AR43" t="str">
        <f t="shared" si="40"/>
        <v/>
      </c>
      <c r="AS43" t="str">
        <f t="shared" si="41"/>
        <v/>
      </c>
      <c r="AT43" t="str">
        <f t="shared" si="42"/>
        <v/>
      </c>
      <c r="AU43" t="str">
        <f t="shared" si="43"/>
        <v/>
      </c>
      <c r="AV43" t="str">
        <f t="shared" si="44"/>
        <v/>
      </c>
      <c r="AW43" t="str">
        <f t="shared" si="45"/>
        <v/>
      </c>
      <c r="AX43" t="str">
        <f t="shared" si="18"/>
        <v/>
      </c>
      <c r="AY43" t="str">
        <f t="shared" si="46"/>
        <v/>
      </c>
      <c r="AZ43" t="str">
        <f t="shared" si="47"/>
        <v/>
      </c>
      <c r="BA43" t="str">
        <f t="shared" si="48"/>
        <v/>
      </c>
      <c r="BB43" t="str">
        <f t="shared" si="49"/>
        <v/>
      </c>
      <c r="BC43" s="347" t="str">
        <f t="shared" si="50"/>
        <v/>
      </c>
      <c r="BD43" s="347">
        <f t="shared" si="51"/>
        <v>0</v>
      </c>
      <c r="BE43" s="346" t="str">
        <f t="shared" si="52"/>
        <v/>
      </c>
      <c r="BF43" s="346" t="str">
        <f t="shared" si="53"/>
        <v/>
      </c>
      <c r="BG43" s="206" t="str">
        <f>IF(ISNA(VLOOKUP(CONCATENATE('Entrant Data'!E30," ",'Entrant Data'!F30),LastYrList!$H:$J,2,FALSE)),"",IF(AND(OR(T(G43)&lt;&gt;"",G43=0),D43=VLOOKUP(CONCATENATE('Entrant Data'!E30," ",'Entrant Data'!F30),LastYrList!$H:$J,3,FALSE)),CONCATENATE('Entrant Data'!E30," ",'Entrant Data'!F30," was No. ",(VLOOKUP(CONCATENATE('Entrant Data'!E30," ",'Entrant Data'!F30),LastYrList!$H:$J,2,FALSE))," last year. "),""))</f>
        <v/>
      </c>
      <c r="BH43" s="186" t="str">
        <f t="shared" si="54"/>
        <v/>
      </c>
      <c r="BN43"/>
      <c r="BO43"/>
    </row>
    <row r="44" spans="1:67" ht="13.5" x14ac:dyDescent="0.25">
      <c r="A44" s="259"/>
      <c r="B44" s="171" t="s">
        <v>447</v>
      </c>
      <c r="C44" s="83"/>
      <c r="D44" s="84"/>
      <c r="E44" s="85"/>
      <c r="F44" s="86"/>
      <c r="G44" s="85"/>
      <c r="H44" s="85"/>
      <c r="I44" s="119">
        <f>10-COUNTBLANK(J47:J56)</f>
        <v>0</v>
      </c>
      <c r="J44" s="85"/>
      <c r="K44" s="85"/>
      <c r="L44" s="85"/>
      <c r="M44" s="85"/>
      <c r="N44" s="85"/>
      <c r="O44" s="85"/>
      <c r="P44" s="85"/>
      <c r="Q44" s="85"/>
      <c r="R44" s="85"/>
      <c r="S44" s="85"/>
      <c r="T44" s="85"/>
      <c r="U44" s="85"/>
      <c r="V44" s="85"/>
      <c r="W44" s="85"/>
      <c r="X44" s="85"/>
      <c r="Y44" s="40" t="str">
        <f>CONCATENATE(J47,J48,J49,J50,J51,J52,J53,J54,J55,J56,AG45,AJ45,Z80,L139,P139,T186,F207,N162)</f>
        <v/>
      </c>
      <c r="Z44" s="205" t="s">
        <v>245</v>
      </c>
      <c r="AA44" s="33">
        <f>COUNTIF(AA17:AA43,"Entrant")</f>
        <v>0</v>
      </c>
      <c r="AB44" s="32">
        <f>27-COUNTIF(AB17:AB43,"")</f>
        <v>0</v>
      </c>
      <c r="AC44" s="32"/>
      <c r="AD44" s="32"/>
      <c r="AE44" s="32"/>
      <c r="AF44" s="32">
        <f>8-COUNTBLANK(AF17:AF24)</f>
        <v>0</v>
      </c>
      <c r="AG44" s="32"/>
      <c r="AH44" s="32"/>
      <c r="AI44" s="32">
        <f>8-COUNTBLANK(AI17:AI24)</f>
        <v>0</v>
      </c>
      <c r="AJ44" s="32">
        <f>27-COUNTIF(AJ17:AJ43,"")</f>
        <v>0</v>
      </c>
      <c r="AK44"/>
      <c r="AL44" s="32">
        <f>27-COUNTIF(AL17:AL43,"")</f>
        <v>0</v>
      </c>
      <c r="AM44" s="32">
        <f>27-COUNTIF(AM17:AM43,"")</f>
        <v>0</v>
      </c>
      <c r="AN44" s="32"/>
      <c r="AO44" s="32"/>
      <c r="AP44" s="32"/>
      <c r="AQ44" s="32"/>
      <c r="AR44" s="32">
        <f t="shared" ref="AR44:AX44" si="55">27-COUNTIF(AR17:AR43,"")</f>
        <v>0</v>
      </c>
      <c r="AS44" s="32">
        <f t="shared" si="55"/>
        <v>0</v>
      </c>
      <c r="AT44" s="32">
        <f t="shared" si="55"/>
        <v>0</v>
      </c>
      <c r="AU44" s="32">
        <f t="shared" si="55"/>
        <v>0</v>
      </c>
      <c r="AV44" s="32">
        <f t="shared" si="55"/>
        <v>0</v>
      </c>
      <c r="AW44" s="32">
        <f t="shared" si="55"/>
        <v>0</v>
      </c>
      <c r="AX44" s="32">
        <f t="shared" si="55"/>
        <v>0</v>
      </c>
      <c r="AY44" s="32"/>
      <c r="AZ44"/>
      <c r="BA44" s="32">
        <f>27-COUNTIF(BA17:BA43,"")</f>
        <v>0</v>
      </c>
      <c r="BC44" s="357"/>
      <c r="BD44" s="357"/>
      <c r="BE44" s="357">
        <f>27-COUNTIF(BE17:BE43,"")</f>
        <v>0</v>
      </c>
      <c r="BF44" s="357">
        <f>27-COUNTIF(BF17:BF43,"")</f>
        <v>0</v>
      </c>
      <c r="BG44" s="342"/>
      <c r="BH44" s="186"/>
      <c r="BN44"/>
      <c r="BO44"/>
    </row>
    <row r="45" spans="1:67" ht="19.5" customHeight="1" x14ac:dyDescent="0.2">
      <c r="A45" s="259"/>
      <c r="B45" s="303">
        <f>(10-COUNTBLANK(K47:K56))+R139+C229+O162+S162</f>
        <v>0</v>
      </c>
      <c r="C45" s="394" t="str">
        <f>CONCATENATE(K47,K48,K49,K50,K51,K52,K53,K54,K55,K56,S139,J229,Q162,T162)</f>
        <v/>
      </c>
      <c r="D45" s="395"/>
      <c r="E45" s="395"/>
      <c r="F45" s="395"/>
      <c r="G45" s="395"/>
      <c r="H45" s="395"/>
      <c r="I45" s="395"/>
      <c r="J45" s="395"/>
      <c r="K45" s="395"/>
      <c r="L45" s="395"/>
      <c r="M45" s="395"/>
      <c r="N45" s="395"/>
      <c r="O45" s="395"/>
      <c r="P45" s="395"/>
      <c r="Q45" s="395"/>
      <c r="R45" s="395"/>
      <c r="S45" s="395"/>
      <c r="T45" s="395"/>
      <c r="U45" s="395"/>
      <c r="V45" s="395"/>
      <c r="W45" s="395"/>
      <c r="X45" s="395"/>
      <c r="Y45" s="42" t="str">
        <f>CONCATENATE("No. of Major Errors = ",BJ45)</f>
        <v>No. of Major Errors = 0</v>
      </c>
      <c r="Z45" s="205" t="s">
        <v>246</v>
      </c>
      <c r="AC45" s="27"/>
      <c r="AG45" t="str">
        <f>CONCATENATE(AF17,AF18,AF19,AF20,AF21,AF22,AF23,AF24)</f>
        <v/>
      </c>
      <c r="AI45"/>
      <c r="AJ45" t="str">
        <f>CONCATENATE(AI17,AI18,AI19,AI20,AI21,AI22,AI23,AI24)</f>
        <v/>
      </c>
      <c r="AK45"/>
      <c r="AL45" s="32">
        <f>27-COUNTIF(AK17:AK43,"")</f>
        <v>0</v>
      </c>
      <c r="AM45" s="32"/>
      <c r="AN45" s="1"/>
      <c r="AO45" s="32">
        <f>27-COUNTBLANK(AN17:AN43)</f>
        <v>0</v>
      </c>
      <c r="AP45" s="32">
        <f>27-COUNTBLANK(AO17:AO43)</f>
        <v>0</v>
      </c>
      <c r="AQ45" s="32">
        <f>27-COUNTIF(AP17:AP43,"")</f>
        <v>0</v>
      </c>
      <c r="AR45" s="32">
        <f>27-COUNTIF(AQ17:AQ43,"")</f>
        <v>0</v>
      </c>
      <c r="AX45"/>
      <c r="AY45" s="32">
        <f>27-COUNTIF(AY17:AY43,"")</f>
        <v>0</v>
      </c>
      <c r="AZ45" s="32">
        <f>27-COUNTIF(AZ17:AZ43,"")</f>
        <v>0</v>
      </c>
      <c r="BB45" s="32"/>
      <c r="BC45" s="32"/>
      <c r="BD45" s="1"/>
      <c r="BE45" s="1"/>
      <c r="BI45" s="204">
        <f>SUM(AC45:AR45)+B45+AY45</f>
        <v>0</v>
      </c>
      <c r="BJ45" s="203">
        <f>SUM(AB44:BF44)+(1-COUNTBLANK(Y10))+I44+AA78+K139+O139+J185+E207+M162</f>
        <v>0</v>
      </c>
      <c r="BN45"/>
      <c r="BO45"/>
    </row>
    <row r="46" spans="1:67" ht="13.5" thickBot="1" x14ac:dyDescent="0.25">
      <c r="A46" s="259"/>
      <c r="B46" s="30"/>
      <c r="C46" s="31"/>
      <c r="D46" s="31"/>
      <c r="E46" s="31"/>
      <c r="F46" s="31"/>
      <c r="G46" s="31"/>
      <c r="H46" s="31"/>
      <c r="I46" s="31"/>
      <c r="J46" s="31"/>
      <c r="K46" s="31"/>
      <c r="L46" s="31"/>
      <c r="M46" s="31"/>
      <c r="N46" s="31"/>
      <c r="O46" s="31"/>
      <c r="P46" s="31"/>
      <c r="Q46" s="31"/>
      <c r="R46" s="31"/>
      <c r="S46" s="31"/>
      <c r="T46" s="31"/>
      <c r="U46" s="31"/>
      <c r="V46" s="31"/>
      <c r="W46" s="31"/>
      <c r="X46" s="31"/>
      <c r="Y46" s="43" t="str">
        <f>CONCATENATE("Number of Warnings = ",BI45)</f>
        <v>Number of Warnings = 0</v>
      </c>
      <c r="Z46" s="205" t="s">
        <v>247</v>
      </c>
      <c r="AC46" s="27"/>
      <c r="AG46"/>
      <c r="AI46"/>
      <c r="AJ46"/>
      <c r="AK46"/>
      <c r="AM46"/>
      <c r="AN46" s="1"/>
      <c r="AO46" s="1"/>
      <c r="AP46" s="1"/>
      <c r="AQ46" s="1"/>
      <c r="AX46"/>
      <c r="AY46"/>
      <c r="AZ46"/>
      <c r="BA46"/>
      <c r="BD46" s="1"/>
      <c r="BE46" s="1"/>
      <c r="BN46"/>
      <c r="BO46"/>
    </row>
    <row r="47" spans="1:67" hidden="1" x14ac:dyDescent="0.2">
      <c r="A47" s="259"/>
      <c r="G47" s="146" t="s">
        <v>240</v>
      </c>
      <c r="H47" s="146"/>
      <c r="I47" s="430">
        <f>COUNTIF(I$17:I$43,G47)</f>
        <v>0</v>
      </c>
      <c r="J47" s="151" t="str">
        <f>IF(I47&gt;3,CONCATENATE(G47," has too many Members."),"")</f>
        <v/>
      </c>
      <c r="K47" s="188" t="str">
        <f t="shared" ref="K47:K56" si="56">IF(AND(I47&gt;0,I47&lt;3),CONCATENATE(G47," has too few Members. "),"")</f>
        <v/>
      </c>
      <c r="M47" s="26"/>
      <c r="Z47" s="205" t="s">
        <v>248</v>
      </c>
      <c r="AC47" s="27"/>
      <c r="AG47"/>
      <c r="AI47"/>
      <c r="AJ47"/>
      <c r="AK47"/>
      <c r="AM47"/>
      <c r="AN47" s="1"/>
      <c r="AO47" s="1"/>
      <c r="AP47" s="1"/>
      <c r="AQ47" s="1"/>
      <c r="AX47"/>
      <c r="AY47"/>
      <c r="AZ47"/>
      <c r="BA47"/>
      <c r="BD47" s="1"/>
      <c r="BE47" s="1"/>
      <c r="BN47"/>
      <c r="BO47"/>
    </row>
    <row r="48" spans="1:67" hidden="1" x14ac:dyDescent="0.2">
      <c r="A48" s="260" t="s">
        <v>400</v>
      </c>
      <c r="G48" s="146" t="s">
        <v>241</v>
      </c>
      <c r="H48" s="146"/>
      <c r="I48" s="430">
        <f t="shared" ref="I48:I56" si="57">COUNTIF(I$17:I$43,G48)</f>
        <v>0</v>
      </c>
      <c r="J48" s="151" t="str">
        <f>IF(I48&gt;3,CONCATENATE(G48," has too many Members."),"")</f>
        <v/>
      </c>
      <c r="K48" s="188" t="str">
        <f t="shared" si="56"/>
        <v/>
      </c>
      <c r="Z48" s="205" t="s">
        <v>249</v>
      </c>
      <c r="AC48" s="27"/>
      <c r="AG48"/>
      <c r="AI48"/>
      <c r="AJ48"/>
      <c r="AK48"/>
      <c r="AM48"/>
      <c r="AN48" s="1"/>
      <c r="AO48" s="1"/>
      <c r="AP48" s="1"/>
      <c r="AQ48" s="1"/>
      <c r="AX48"/>
      <c r="AY48"/>
      <c r="AZ48"/>
      <c r="BA48"/>
      <c r="BD48" s="1"/>
      <c r="BE48" s="1"/>
      <c r="BN48"/>
      <c r="BO48"/>
    </row>
    <row r="49" spans="1:67" hidden="1" x14ac:dyDescent="0.2">
      <c r="D49" s="24"/>
      <c r="G49" s="146" t="s">
        <v>242</v>
      </c>
      <c r="H49" s="146"/>
      <c r="I49" s="430">
        <f t="shared" si="57"/>
        <v>0</v>
      </c>
      <c r="J49" s="151" t="str">
        <f>IF(I49&gt;3,CONCATENATE(G49," has too many Members."),"")</f>
        <v/>
      </c>
      <c r="K49" s="188" t="str">
        <f t="shared" si="56"/>
        <v/>
      </c>
      <c r="Z49" s="218" t="s">
        <v>24</v>
      </c>
      <c r="AC49" s="27"/>
      <c r="AG49"/>
      <c r="AI49"/>
      <c r="AJ49"/>
      <c r="AK49"/>
      <c r="AM49"/>
      <c r="AN49" s="1"/>
      <c r="AO49" s="1"/>
      <c r="AP49" s="1"/>
      <c r="AQ49" s="1"/>
      <c r="AX49"/>
      <c r="AY49"/>
      <c r="AZ49"/>
      <c r="BA49"/>
      <c r="BD49" s="1"/>
      <c r="BE49" s="1"/>
      <c r="BN49"/>
      <c r="BO49"/>
    </row>
    <row r="50" spans="1:67" hidden="1" x14ac:dyDescent="0.2">
      <c r="D50" s="24"/>
      <c r="G50" s="146" t="s">
        <v>243</v>
      </c>
      <c r="H50" s="146"/>
      <c r="I50" s="430">
        <f t="shared" si="57"/>
        <v>0</v>
      </c>
      <c r="J50" s="151" t="str">
        <f>IF(I50&gt;3,CONCATENATE(G50," has too many Members."),"")</f>
        <v/>
      </c>
      <c r="K50" s="188" t="str">
        <f t="shared" si="56"/>
        <v/>
      </c>
      <c r="Z50" s="218" t="s">
        <v>25</v>
      </c>
      <c r="AC50" s="27"/>
      <c r="AG50"/>
      <c r="AI50"/>
      <c r="AJ50"/>
      <c r="AK50"/>
      <c r="AM50"/>
      <c r="AN50" s="1"/>
      <c r="AO50" s="1"/>
      <c r="AP50" s="1"/>
      <c r="AQ50" s="1"/>
      <c r="AX50"/>
      <c r="AY50"/>
      <c r="AZ50"/>
      <c r="BA50"/>
      <c r="BD50" s="1"/>
      <c r="BE50" s="1"/>
      <c r="BN50"/>
      <c r="BO50"/>
    </row>
    <row r="51" spans="1:67" hidden="1" x14ac:dyDescent="0.2">
      <c r="D51" s="24"/>
      <c r="G51" s="146" t="s">
        <v>250</v>
      </c>
      <c r="H51" s="146"/>
      <c r="I51" s="430">
        <f t="shared" si="57"/>
        <v>0</v>
      </c>
      <c r="J51" s="151" t="str">
        <f t="shared" ref="J51:J56" si="58">IF(I51&gt;3,CONCATENATE(G51," has too many Members."),"")</f>
        <v/>
      </c>
      <c r="K51" s="188" t="str">
        <f t="shared" si="56"/>
        <v/>
      </c>
      <c r="Z51" s="218" t="s">
        <v>26</v>
      </c>
      <c r="AC51" s="27"/>
      <c r="AG51"/>
      <c r="AI51"/>
      <c r="AJ51"/>
      <c r="AK51"/>
      <c r="AM51"/>
      <c r="AN51" s="1"/>
      <c r="AO51" s="1"/>
      <c r="AP51" s="1"/>
      <c r="AQ51" s="1"/>
      <c r="AX51"/>
      <c r="AY51"/>
      <c r="AZ51"/>
      <c r="BA51"/>
      <c r="BD51" s="1"/>
      <c r="BE51" s="1"/>
      <c r="BN51"/>
      <c r="BO51"/>
    </row>
    <row r="52" spans="1:67" hidden="1" x14ac:dyDescent="0.2">
      <c r="D52" s="24"/>
      <c r="G52" s="146" t="s">
        <v>251</v>
      </c>
      <c r="H52" s="146"/>
      <c r="I52" s="430">
        <f t="shared" si="57"/>
        <v>0</v>
      </c>
      <c r="J52" s="151" t="str">
        <f t="shared" si="58"/>
        <v/>
      </c>
      <c r="K52" s="188" t="str">
        <f t="shared" si="56"/>
        <v/>
      </c>
      <c r="Z52" s="218" t="s">
        <v>30</v>
      </c>
      <c r="AC52" s="27"/>
      <c r="AG52"/>
      <c r="AI52"/>
      <c r="AJ52"/>
      <c r="AK52"/>
      <c r="AM52"/>
      <c r="AN52" s="1"/>
      <c r="AO52" s="1"/>
      <c r="AP52" s="1"/>
      <c r="AQ52" s="1"/>
      <c r="AX52"/>
      <c r="AY52"/>
      <c r="AZ52"/>
      <c r="BA52"/>
      <c r="BD52" s="1"/>
      <c r="BE52" s="1"/>
      <c r="BN52"/>
      <c r="BO52"/>
    </row>
    <row r="53" spans="1:67" hidden="1" x14ac:dyDescent="0.2">
      <c r="D53" s="24"/>
      <c r="G53" s="146" t="s">
        <v>252</v>
      </c>
      <c r="H53" s="146"/>
      <c r="I53" s="430">
        <f t="shared" si="57"/>
        <v>0</v>
      </c>
      <c r="J53" s="151" t="str">
        <f t="shared" si="58"/>
        <v/>
      </c>
      <c r="K53" s="188" t="str">
        <f t="shared" si="56"/>
        <v/>
      </c>
      <c r="Z53" s="218" t="s">
        <v>29</v>
      </c>
      <c r="AC53" s="27"/>
      <c r="AG53"/>
      <c r="AI53"/>
      <c r="AJ53"/>
      <c r="AK53"/>
      <c r="AM53"/>
      <c r="AN53" s="1"/>
      <c r="AO53" s="1"/>
      <c r="AP53" s="1"/>
      <c r="AQ53" s="1"/>
      <c r="AX53"/>
      <c r="AY53"/>
      <c r="AZ53"/>
      <c r="BA53"/>
      <c r="BD53" s="1"/>
      <c r="BE53" s="1"/>
      <c r="BN53"/>
      <c r="BO53"/>
    </row>
    <row r="54" spans="1:67" hidden="1" x14ac:dyDescent="0.2">
      <c r="D54" s="24"/>
      <c r="G54" s="146" t="s">
        <v>253</v>
      </c>
      <c r="H54" s="146"/>
      <c r="I54" s="430">
        <f t="shared" si="57"/>
        <v>0</v>
      </c>
      <c r="J54" s="151" t="str">
        <f t="shared" si="58"/>
        <v/>
      </c>
      <c r="K54" s="188" t="str">
        <f t="shared" si="56"/>
        <v/>
      </c>
      <c r="S54" s="81"/>
      <c r="AC54" s="27"/>
      <c r="AG54"/>
      <c r="AI54"/>
      <c r="AJ54"/>
      <c r="AK54"/>
      <c r="AM54"/>
      <c r="AN54" s="1"/>
      <c r="AO54" s="1"/>
      <c r="AP54" s="1"/>
      <c r="AQ54" s="1"/>
      <c r="AX54"/>
      <c r="AY54"/>
      <c r="AZ54"/>
      <c r="BA54"/>
      <c r="BD54" s="1"/>
      <c r="BE54" s="1"/>
      <c r="BN54"/>
      <c r="BO54"/>
    </row>
    <row r="55" spans="1:67" hidden="1" x14ac:dyDescent="0.2">
      <c r="D55" s="24"/>
      <c r="G55" s="146" t="s">
        <v>254</v>
      </c>
      <c r="H55" s="146"/>
      <c r="I55" s="430">
        <f t="shared" si="57"/>
        <v>0</v>
      </c>
      <c r="J55" s="151" t="str">
        <f t="shared" si="58"/>
        <v/>
      </c>
      <c r="K55" s="188" t="str">
        <f t="shared" si="56"/>
        <v/>
      </c>
      <c r="AC55" s="27"/>
      <c r="AG55"/>
      <c r="AI55"/>
      <c r="AJ55"/>
      <c r="AK55"/>
      <c r="AM55"/>
      <c r="AN55" s="1"/>
      <c r="AO55" s="1"/>
      <c r="AP55" s="1"/>
      <c r="AQ55" s="1"/>
      <c r="AX55"/>
      <c r="AY55"/>
      <c r="AZ55"/>
      <c r="BA55"/>
      <c r="BD55" s="1"/>
      <c r="BE55" s="1"/>
      <c r="BN55"/>
      <c r="BO55"/>
    </row>
    <row r="56" spans="1:67" hidden="1" x14ac:dyDescent="0.2">
      <c r="D56" s="24"/>
      <c r="G56" s="146" t="s">
        <v>309</v>
      </c>
      <c r="H56" s="146"/>
      <c r="I56" s="430">
        <f t="shared" si="57"/>
        <v>0</v>
      </c>
      <c r="J56" s="151" t="str">
        <f t="shared" si="58"/>
        <v/>
      </c>
      <c r="K56" s="188" t="str">
        <f t="shared" si="56"/>
        <v/>
      </c>
      <c r="AC56" s="27"/>
      <c r="AG56"/>
      <c r="AI56"/>
      <c r="AJ56"/>
      <c r="AK56"/>
      <c r="AM56"/>
      <c r="AN56" s="1"/>
      <c r="AO56" s="1"/>
      <c r="AP56" s="1"/>
      <c r="AQ56" s="1"/>
      <c r="AX56"/>
      <c r="AY56"/>
      <c r="AZ56"/>
      <c r="BA56"/>
      <c r="BD56" s="1"/>
      <c r="BE56" s="1"/>
      <c r="BN56"/>
      <c r="BO56"/>
    </row>
    <row r="57" spans="1:67" ht="27.75" hidden="1" customHeight="1" x14ac:dyDescent="0.2">
      <c r="D57" s="97"/>
      <c r="F57" s="1" t="s">
        <v>311</v>
      </c>
      <c r="G57" s="1" t="s">
        <v>312</v>
      </c>
      <c r="H57" s="1"/>
      <c r="I57" s="82" t="s">
        <v>313</v>
      </c>
      <c r="J57" s="32" t="s">
        <v>314</v>
      </c>
      <c r="K57" s="1" t="s">
        <v>315</v>
      </c>
      <c r="L57" s="1" t="s">
        <v>316</v>
      </c>
      <c r="M57" s="1" t="s">
        <v>270</v>
      </c>
      <c r="N57" s="1" t="s">
        <v>317</v>
      </c>
      <c r="O57" s="107" t="s">
        <v>318</v>
      </c>
      <c r="P57" s="107" t="s">
        <v>335</v>
      </c>
      <c r="Q57" s="107" t="s">
        <v>336</v>
      </c>
      <c r="R57" s="107" t="s">
        <v>333</v>
      </c>
      <c r="S57" s="107" t="s">
        <v>319</v>
      </c>
      <c r="T57" s="107" t="s">
        <v>320</v>
      </c>
      <c r="U57" s="107" t="s">
        <v>334</v>
      </c>
      <c r="V57" s="107"/>
      <c r="W57" s="107" t="s">
        <v>329</v>
      </c>
      <c r="X57" s="107" t="s">
        <v>331</v>
      </c>
      <c r="AC57" s="27"/>
      <c r="AG57"/>
      <c r="AI57"/>
      <c r="AJ57"/>
      <c r="AK57"/>
      <c r="AM57"/>
      <c r="AN57" s="1"/>
      <c r="AO57" s="1"/>
      <c r="AP57" s="1"/>
      <c r="AQ57" s="1"/>
      <c r="AX57"/>
      <c r="AY57"/>
      <c r="AZ57"/>
      <c r="BA57"/>
      <c r="BD57" s="1"/>
      <c r="BE57" s="1"/>
      <c r="BN57"/>
      <c r="BO57"/>
    </row>
    <row r="58" spans="1:67" ht="21.75" hidden="1" customHeight="1" x14ac:dyDescent="0.2">
      <c r="A58" s="261" t="str">
        <f>IF(COUNTBLANK(B17:C17)&lt;2,D17,"")</f>
        <v/>
      </c>
      <c r="B58" t="str">
        <f>TRIM(B17)</f>
        <v/>
      </c>
      <c r="C58" t="str">
        <f>TRIM(C17)</f>
        <v/>
      </c>
      <c r="D58" s="1">
        <f>D17</f>
        <v>0</v>
      </c>
      <c r="E58" t="str">
        <f>UPPER(I17)</f>
        <v/>
      </c>
      <c r="F58" s="1">
        <f>DAY(D58)</f>
        <v>0</v>
      </c>
      <c r="G58" s="1">
        <f>MONTH(D58)</f>
        <v>1</v>
      </c>
      <c r="H58" s="1"/>
      <c r="I58" s="1">
        <f>YEAR(D58)</f>
        <v>1900</v>
      </c>
      <c r="J58" s="32">
        <f t="shared" ref="J58:J84" si="59">DAY(Q_Date)-F58</f>
        <v>21</v>
      </c>
      <c r="K58" s="32">
        <f t="shared" ref="K58:K84" si="60">MONTH(Q_Date)-G58</f>
        <v>9</v>
      </c>
      <c r="L58" s="32">
        <f t="shared" ref="L58:L84" si="61">YEAR(Q_Date)-I58</f>
        <v>117</v>
      </c>
      <c r="M58" s="1">
        <f t="shared" ref="M58:M84" si="62">L58+K58/12+J58/365</f>
        <v>117.80753424657534</v>
      </c>
      <c r="N58" s="1" t="str">
        <f t="shared" ref="N58:N84" si="63">IF(B58&lt;&gt;"",INT(M58),"")</f>
        <v/>
      </c>
      <c r="O58" s="1" t="str">
        <f t="shared" ref="O58:O84" si="64">IF(AND($N58&gt;18,$K17="N"),"",IF(AND(COUNTBLANK($J17)=1,$N58&lt;14),1,""))</f>
        <v/>
      </c>
      <c r="P58" t="str">
        <f>IF(AND(M58&gt;=13.5,M58&lt;14),1,"")</f>
        <v/>
      </c>
      <c r="Q58" s="1" t="str">
        <f t="shared" ref="Q58:Q84" si="65">IF(AND($N58&gt;18,$K17="N"),"",IF(AND(COUNTBLANK($J17)=1,$N58&gt;=14,$N58&lt;18),1,""))</f>
        <v/>
      </c>
      <c r="S58" s="1" t="str">
        <f t="shared" ref="S58:S84" si="66">IF(AND($N58&gt;18,$K17="N"),"",IF(AND(COUNTBLANK($J17)=1,$N58&gt;=18,$N58&lt;25),1,""))</f>
        <v/>
      </c>
      <c r="T58" s="1" t="str">
        <f t="shared" ref="T58:T84" si="67">IF(AND($N58&gt;18,$K17="N"),"",IF(AND(COUNTBLANK($J17)=1,$B58&lt;&gt;"",$N58&gt;=25),1,""))</f>
        <v/>
      </c>
      <c r="U58" t="str">
        <f>IF(SUM(O58:T58)=1,1,"")</f>
        <v/>
      </c>
      <c r="W58" t="str">
        <f t="shared" ref="W58:W84" si="68">IF(COUNTIF(J17,"R")=1,1,"")</f>
        <v/>
      </c>
      <c r="X58" t="str">
        <f>IF(COUNTIF(K17,"n")=1,1,"")</f>
        <v/>
      </c>
      <c r="AC58" s="27"/>
      <c r="AG58"/>
      <c r="AI58"/>
      <c r="AJ58"/>
      <c r="AK58"/>
      <c r="AM58"/>
      <c r="AN58" s="1"/>
      <c r="AO58" s="1"/>
      <c r="AP58" s="1"/>
      <c r="AQ58" s="1"/>
      <c r="AX58"/>
      <c r="AY58"/>
      <c r="AZ58"/>
      <c r="BA58"/>
      <c r="BD58" s="1"/>
      <c r="BE58" s="1"/>
      <c r="BN58"/>
      <c r="BO58"/>
    </row>
    <row r="59" spans="1:67" hidden="1" x14ac:dyDescent="0.2">
      <c r="A59" s="261" t="str">
        <f t="shared" ref="A59:A84" si="69">IF(COUNTBLANK(B18:C18)&lt;2,D18,"")</f>
        <v/>
      </c>
      <c r="B59" t="str">
        <f t="shared" ref="B59:B84" si="70">TRIM(B18)</f>
        <v/>
      </c>
      <c r="C59" t="str">
        <f t="shared" ref="C59:C84" si="71">TRIM(C18)</f>
        <v/>
      </c>
      <c r="D59" s="1">
        <f t="shared" ref="D59:D84" si="72">D18</f>
        <v>0</v>
      </c>
      <c r="E59" t="str">
        <f t="shared" ref="E59:E84" si="73">UPPER(I18)</f>
        <v/>
      </c>
      <c r="F59" s="1">
        <f t="shared" ref="F59:F84" si="74">DAY(D59)</f>
        <v>0</v>
      </c>
      <c r="G59" s="1">
        <f t="shared" ref="G59:G84" si="75">MONTH(D59)</f>
        <v>1</v>
      </c>
      <c r="H59" s="1"/>
      <c r="I59" s="1">
        <f t="shared" ref="I59:I84" si="76">YEAR(D59)</f>
        <v>1900</v>
      </c>
      <c r="J59" s="32">
        <f t="shared" si="59"/>
        <v>21</v>
      </c>
      <c r="K59" s="32">
        <f t="shared" si="60"/>
        <v>9</v>
      </c>
      <c r="L59" s="32">
        <f t="shared" si="61"/>
        <v>117</v>
      </c>
      <c r="M59" s="1">
        <f t="shared" si="62"/>
        <v>117.80753424657534</v>
      </c>
      <c r="N59" s="1" t="str">
        <f t="shared" si="63"/>
        <v/>
      </c>
      <c r="O59" s="1" t="str">
        <f t="shared" si="64"/>
        <v/>
      </c>
      <c r="P59" t="str">
        <f t="shared" ref="P59:P84" si="77">IF(AND(M59&gt;=13.5,M59&lt;14),1,"")</f>
        <v/>
      </c>
      <c r="Q59" s="1" t="str">
        <f t="shared" si="65"/>
        <v/>
      </c>
      <c r="S59" s="1" t="str">
        <f t="shared" si="66"/>
        <v/>
      </c>
      <c r="T59" s="1" t="str">
        <f t="shared" si="67"/>
        <v/>
      </c>
      <c r="U59" t="str">
        <f t="shared" ref="U59:U84" si="78">IF(SUM(O59:T59)=1,1,"")</f>
        <v/>
      </c>
      <c r="W59" t="str">
        <f t="shared" si="68"/>
        <v/>
      </c>
      <c r="X59" t="str">
        <f t="shared" ref="X59:X84" si="79">IF(COUNTIF(K18,"n")=1,1,"")</f>
        <v/>
      </c>
      <c r="AC59" s="27"/>
      <c r="AG59"/>
      <c r="AI59"/>
      <c r="AJ59"/>
      <c r="AK59"/>
      <c r="AM59"/>
      <c r="AN59" s="1"/>
      <c r="AO59" s="1"/>
      <c r="AP59" s="1"/>
      <c r="AQ59" s="1"/>
      <c r="AX59"/>
      <c r="AY59"/>
      <c r="AZ59"/>
      <c r="BA59"/>
      <c r="BD59" s="1"/>
      <c r="BE59" s="1"/>
      <c r="BN59"/>
      <c r="BO59"/>
    </row>
    <row r="60" spans="1:67" hidden="1" x14ac:dyDescent="0.2">
      <c r="A60" s="261" t="str">
        <f t="shared" si="69"/>
        <v/>
      </c>
      <c r="B60" t="str">
        <f t="shared" si="70"/>
        <v/>
      </c>
      <c r="C60" t="str">
        <f t="shared" si="71"/>
        <v/>
      </c>
      <c r="D60" s="1">
        <f t="shared" si="72"/>
        <v>0</v>
      </c>
      <c r="E60" t="str">
        <f t="shared" si="73"/>
        <v/>
      </c>
      <c r="F60" s="1">
        <f t="shared" si="74"/>
        <v>0</v>
      </c>
      <c r="G60" s="1">
        <f t="shared" si="75"/>
        <v>1</v>
      </c>
      <c r="H60" s="1"/>
      <c r="I60" s="1">
        <f t="shared" si="76"/>
        <v>1900</v>
      </c>
      <c r="J60" s="32">
        <f t="shared" si="59"/>
        <v>21</v>
      </c>
      <c r="K60" s="32">
        <f t="shared" si="60"/>
        <v>9</v>
      </c>
      <c r="L60" s="32">
        <f t="shared" si="61"/>
        <v>117</v>
      </c>
      <c r="M60" s="1">
        <f t="shared" si="62"/>
        <v>117.80753424657534</v>
      </c>
      <c r="N60" s="1" t="str">
        <f t="shared" si="63"/>
        <v/>
      </c>
      <c r="O60" s="1" t="str">
        <f t="shared" si="64"/>
        <v/>
      </c>
      <c r="P60" t="str">
        <f t="shared" si="77"/>
        <v/>
      </c>
      <c r="Q60" s="1" t="str">
        <f t="shared" si="65"/>
        <v/>
      </c>
      <c r="S60" s="1" t="str">
        <f t="shared" si="66"/>
        <v/>
      </c>
      <c r="T60" s="1" t="str">
        <f t="shared" si="67"/>
        <v/>
      </c>
      <c r="U60" t="str">
        <f t="shared" si="78"/>
        <v/>
      </c>
      <c r="W60" t="str">
        <f t="shared" si="68"/>
        <v/>
      </c>
      <c r="X60" t="str">
        <f t="shared" si="79"/>
        <v/>
      </c>
      <c r="AC60" s="27"/>
      <c r="AG60"/>
      <c r="AI60"/>
      <c r="AJ60"/>
      <c r="AK60"/>
      <c r="AM60"/>
      <c r="AN60" s="1"/>
      <c r="AO60" s="1"/>
      <c r="AP60" s="1"/>
      <c r="AQ60" s="1"/>
      <c r="AX60"/>
      <c r="AY60"/>
      <c r="AZ60"/>
      <c r="BA60"/>
      <c r="BD60" s="1"/>
      <c r="BE60" s="1"/>
      <c r="BN60"/>
      <c r="BO60"/>
    </row>
    <row r="61" spans="1:67" hidden="1" x14ac:dyDescent="0.2">
      <c r="A61" s="261" t="str">
        <f t="shared" si="69"/>
        <v/>
      </c>
      <c r="B61" t="str">
        <f t="shared" si="70"/>
        <v/>
      </c>
      <c r="C61" t="str">
        <f t="shared" si="71"/>
        <v/>
      </c>
      <c r="D61" s="1">
        <f t="shared" si="72"/>
        <v>0</v>
      </c>
      <c r="E61" t="str">
        <f t="shared" si="73"/>
        <v/>
      </c>
      <c r="F61" s="1">
        <f t="shared" si="74"/>
        <v>0</v>
      </c>
      <c r="G61" s="1">
        <f t="shared" si="75"/>
        <v>1</v>
      </c>
      <c r="H61" s="1"/>
      <c r="I61" s="1">
        <f t="shared" si="76"/>
        <v>1900</v>
      </c>
      <c r="J61" s="32">
        <f t="shared" si="59"/>
        <v>21</v>
      </c>
      <c r="K61" s="32">
        <f t="shared" si="60"/>
        <v>9</v>
      </c>
      <c r="L61" s="32">
        <f t="shared" si="61"/>
        <v>117</v>
      </c>
      <c r="M61" s="1">
        <f t="shared" si="62"/>
        <v>117.80753424657534</v>
      </c>
      <c r="N61" s="1" t="str">
        <f t="shared" si="63"/>
        <v/>
      </c>
      <c r="O61" s="1" t="str">
        <f t="shared" si="64"/>
        <v/>
      </c>
      <c r="P61" t="str">
        <f t="shared" si="77"/>
        <v/>
      </c>
      <c r="Q61" s="1" t="str">
        <f t="shared" si="65"/>
        <v/>
      </c>
      <c r="S61" s="1" t="str">
        <f t="shared" si="66"/>
        <v/>
      </c>
      <c r="T61" s="1" t="str">
        <f t="shared" si="67"/>
        <v/>
      </c>
      <c r="U61" t="str">
        <f t="shared" si="78"/>
        <v/>
      </c>
      <c r="W61" t="str">
        <f t="shared" si="68"/>
        <v/>
      </c>
      <c r="X61" t="str">
        <f t="shared" si="79"/>
        <v/>
      </c>
      <c r="AC61" s="27"/>
      <c r="AG61"/>
      <c r="AI61"/>
      <c r="AJ61"/>
      <c r="AK61"/>
      <c r="AM61"/>
      <c r="AN61" s="1"/>
      <c r="AO61" s="1"/>
      <c r="AP61" s="1"/>
      <c r="AQ61" s="1"/>
      <c r="AX61"/>
      <c r="AY61"/>
      <c r="AZ61"/>
      <c r="BA61"/>
      <c r="BD61" s="1"/>
      <c r="BE61" s="1"/>
      <c r="BN61"/>
      <c r="BO61"/>
    </row>
    <row r="62" spans="1:67" hidden="1" x14ac:dyDescent="0.2">
      <c r="A62" s="261" t="str">
        <f t="shared" si="69"/>
        <v/>
      </c>
      <c r="B62" t="str">
        <f t="shared" si="70"/>
        <v/>
      </c>
      <c r="C62" t="str">
        <f t="shared" si="71"/>
        <v/>
      </c>
      <c r="D62" s="1">
        <f t="shared" si="72"/>
        <v>0</v>
      </c>
      <c r="E62" t="str">
        <f t="shared" si="73"/>
        <v/>
      </c>
      <c r="F62" s="1">
        <f t="shared" si="74"/>
        <v>0</v>
      </c>
      <c r="G62" s="1">
        <f t="shared" si="75"/>
        <v>1</v>
      </c>
      <c r="H62" s="1"/>
      <c r="I62" s="1">
        <f t="shared" si="76"/>
        <v>1900</v>
      </c>
      <c r="J62" s="32">
        <f t="shared" si="59"/>
        <v>21</v>
      </c>
      <c r="K62" s="32">
        <f t="shared" si="60"/>
        <v>9</v>
      </c>
      <c r="L62" s="32">
        <f t="shared" si="61"/>
        <v>117</v>
      </c>
      <c r="M62" s="1">
        <f t="shared" si="62"/>
        <v>117.80753424657534</v>
      </c>
      <c r="N62" s="1" t="str">
        <f t="shared" si="63"/>
        <v/>
      </c>
      <c r="O62" s="1" t="str">
        <f t="shared" si="64"/>
        <v/>
      </c>
      <c r="P62" t="str">
        <f t="shared" si="77"/>
        <v/>
      </c>
      <c r="Q62" s="1" t="str">
        <f t="shared" si="65"/>
        <v/>
      </c>
      <c r="S62" s="1" t="str">
        <f t="shared" si="66"/>
        <v/>
      </c>
      <c r="T62" s="1" t="str">
        <f t="shared" si="67"/>
        <v/>
      </c>
      <c r="U62" t="str">
        <f t="shared" si="78"/>
        <v/>
      </c>
      <c r="W62" t="str">
        <f t="shared" si="68"/>
        <v/>
      </c>
      <c r="X62" t="str">
        <f t="shared" si="79"/>
        <v/>
      </c>
      <c r="AC62" s="27"/>
      <c r="AG62"/>
      <c r="AI62"/>
      <c r="AJ62"/>
      <c r="AK62"/>
      <c r="AM62"/>
      <c r="AN62" s="1"/>
      <c r="AO62" s="1"/>
      <c r="AP62" s="1"/>
      <c r="AQ62" s="1"/>
      <c r="AX62"/>
      <c r="AY62"/>
      <c r="AZ62"/>
      <c r="BA62"/>
      <c r="BD62" s="1"/>
      <c r="BE62" s="1"/>
      <c r="BN62"/>
      <c r="BO62"/>
    </row>
    <row r="63" spans="1:67" hidden="1" x14ac:dyDescent="0.2">
      <c r="A63" s="261" t="str">
        <f t="shared" si="69"/>
        <v/>
      </c>
      <c r="B63" t="str">
        <f t="shared" si="70"/>
        <v/>
      </c>
      <c r="C63" t="str">
        <f t="shared" si="71"/>
        <v/>
      </c>
      <c r="D63" s="1">
        <f t="shared" si="72"/>
        <v>0</v>
      </c>
      <c r="E63" t="str">
        <f t="shared" si="73"/>
        <v/>
      </c>
      <c r="F63" s="1">
        <f t="shared" si="74"/>
        <v>0</v>
      </c>
      <c r="G63" s="1">
        <f t="shared" si="75"/>
        <v>1</v>
      </c>
      <c r="H63" s="1"/>
      <c r="I63" s="1">
        <f t="shared" si="76"/>
        <v>1900</v>
      </c>
      <c r="J63" s="32">
        <f t="shared" si="59"/>
        <v>21</v>
      </c>
      <c r="K63" s="32">
        <f t="shared" si="60"/>
        <v>9</v>
      </c>
      <c r="L63" s="32">
        <f t="shared" si="61"/>
        <v>117</v>
      </c>
      <c r="M63" s="1">
        <f t="shared" si="62"/>
        <v>117.80753424657534</v>
      </c>
      <c r="N63" s="1" t="str">
        <f t="shared" si="63"/>
        <v/>
      </c>
      <c r="O63" s="1" t="str">
        <f t="shared" si="64"/>
        <v/>
      </c>
      <c r="P63" t="str">
        <f t="shared" si="77"/>
        <v/>
      </c>
      <c r="Q63" s="1" t="str">
        <f t="shared" si="65"/>
        <v/>
      </c>
      <c r="S63" s="1" t="str">
        <f t="shared" si="66"/>
        <v/>
      </c>
      <c r="T63" s="1" t="str">
        <f t="shared" si="67"/>
        <v/>
      </c>
      <c r="U63" t="str">
        <f t="shared" si="78"/>
        <v/>
      </c>
      <c r="W63" t="str">
        <f t="shared" si="68"/>
        <v/>
      </c>
      <c r="X63" t="str">
        <f t="shared" si="79"/>
        <v/>
      </c>
      <c r="AC63" s="27"/>
      <c r="AG63"/>
      <c r="AI63"/>
      <c r="AJ63"/>
      <c r="AK63"/>
      <c r="AM63"/>
      <c r="AN63" s="1"/>
      <c r="AO63" s="1"/>
      <c r="AP63" s="1"/>
      <c r="AQ63" s="1"/>
      <c r="AX63"/>
      <c r="AY63"/>
      <c r="AZ63"/>
      <c r="BA63"/>
      <c r="BD63" s="1"/>
      <c r="BE63" s="1"/>
      <c r="BN63"/>
      <c r="BO63"/>
    </row>
    <row r="64" spans="1:67" hidden="1" x14ac:dyDescent="0.2">
      <c r="A64" s="261" t="str">
        <f t="shared" si="69"/>
        <v/>
      </c>
      <c r="B64" t="str">
        <f t="shared" si="70"/>
        <v/>
      </c>
      <c r="C64" t="str">
        <f t="shared" si="71"/>
        <v/>
      </c>
      <c r="D64" s="1">
        <f t="shared" si="72"/>
        <v>0</v>
      </c>
      <c r="E64" t="str">
        <f t="shared" si="73"/>
        <v/>
      </c>
      <c r="F64" s="1">
        <f t="shared" si="74"/>
        <v>0</v>
      </c>
      <c r="G64" s="1">
        <f t="shared" si="75"/>
        <v>1</v>
      </c>
      <c r="H64" s="1"/>
      <c r="I64" s="1">
        <f t="shared" si="76"/>
        <v>1900</v>
      </c>
      <c r="J64" s="32">
        <f t="shared" si="59"/>
        <v>21</v>
      </c>
      <c r="K64" s="32">
        <f t="shared" si="60"/>
        <v>9</v>
      </c>
      <c r="L64" s="32">
        <f t="shared" si="61"/>
        <v>117</v>
      </c>
      <c r="M64" s="1">
        <f t="shared" si="62"/>
        <v>117.80753424657534</v>
      </c>
      <c r="N64" s="1" t="str">
        <f t="shared" si="63"/>
        <v/>
      </c>
      <c r="O64" s="1" t="str">
        <f t="shared" si="64"/>
        <v/>
      </c>
      <c r="P64" t="str">
        <f t="shared" si="77"/>
        <v/>
      </c>
      <c r="Q64" s="1" t="str">
        <f t="shared" si="65"/>
        <v/>
      </c>
      <c r="S64" s="1" t="str">
        <f t="shared" si="66"/>
        <v/>
      </c>
      <c r="T64" s="1" t="str">
        <f t="shared" si="67"/>
        <v/>
      </c>
      <c r="U64" t="str">
        <f t="shared" si="78"/>
        <v/>
      </c>
      <c r="W64" t="str">
        <f t="shared" si="68"/>
        <v/>
      </c>
      <c r="X64" t="str">
        <f t="shared" si="79"/>
        <v/>
      </c>
      <c r="AC64" s="27"/>
      <c r="AG64"/>
      <c r="AI64"/>
      <c r="AJ64"/>
      <c r="AK64"/>
      <c r="AM64"/>
      <c r="AN64" s="1"/>
      <c r="AO64" s="1"/>
      <c r="AP64" s="1"/>
      <c r="AQ64" s="1"/>
      <c r="AX64"/>
      <c r="AY64"/>
      <c r="AZ64"/>
      <c r="BA64"/>
      <c r="BD64" s="1"/>
      <c r="BE64" s="1"/>
      <c r="BN64"/>
      <c r="BO64"/>
    </row>
    <row r="65" spans="1:67" hidden="1" x14ac:dyDescent="0.2">
      <c r="A65" s="261" t="str">
        <f t="shared" si="69"/>
        <v/>
      </c>
      <c r="B65" t="str">
        <f t="shared" si="70"/>
        <v/>
      </c>
      <c r="C65" t="str">
        <f t="shared" si="71"/>
        <v/>
      </c>
      <c r="D65" s="1">
        <f t="shared" si="72"/>
        <v>0</v>
      </c>
      <c r="E65" t="str">
        <f t="shared" si="73"/>
        <v/>
      </c>
      <c r="F65" s="1">
        <f t="shared" si="74"/>
        <v>0</v>
      </c>
      <c r="G65" s="1">
        <f t="shared" si="75"/>
        <v>1</v>
      </c>
      <c r="H65" s="1"/>
      <c r="I65" s="1">
        <f t="shared" si="76"/>
        <v>1900</v>
      </c>
      <c r="J65" s="32">
        <f t="shared" si="59"/>
        <v>21</v>
      </c>
      <c r="K65" s="32">
        <f t="shared" si="60"/>
        <v>9</v>
      </c>
      <c r="L65" s="32">
        <f t="shared" si="61"/>
        <v>117</v>
      </c>
      <c r="M65" s="1">
        <f t="shared" si="62"/>
        <v>117.80753424657534</v>
      </c>
      <c r="N65" s="1" t="str">
        <f t="shared" si="63"/>
        <v/>
      </c>
      <c r="O65" s="1" t="str">
        <f t="shared" si="64"/>
        <v/>
      </c>
      <c r="P65" t="str">
        <f t="shared" si="77"/>
        <v/>
      </c>
      <c r="Q65" s="1" t="str">
        <f t="shared" si="65"/>
        <v/>
      </c>
      <c r="S65" s="1" t="str">
        <f t="shared" si="66"/>
        <v/>
      </c>
      <c r="T65" s="1" t="str">
        <f t="shared" si="67"/>
        <v/>
      </c>
      <c r="U65" t="str">
        <f t="shared" si="78"/>
        <v/>
      </c>
      <c r="W65" t="str">
        <f t="shared" si="68"/>
        <v/>
      </c>
      <c r="X65" t="str">
        <f t="shared" si="79"/>
        <v/>
      </c>
      <c r="AC65" s="27"/>
      <c r="AG65"/>
      <c r="AI65"/>
      <c r="AJ65"/>
      <c r="AK65"/>
      <c r="AM65"/>
      <c r="AN65" s="1"/>
      <c r="AO65" s="1"/>
      <c r="AP65" s="1"/>
      <c r="AQ65" s="1"/>
      <c r="AX65"/>
      <c r="AY65"/>
      <c r="AZ65"/>
      <c r="BA65"/>
      <c r="BD65" s="1"/>
      <c r="BE65" s="1"/>
      <c r="BN65"/>
      <c r="BO65"/>
    </row>
    <row r="66" spans="1:67" hidden="1" x14ac:dyDescent="0.2">
      <c r="A66" s="261" t="str">
        <f t="shared" si="69"/>
        <v/>
      </c>
      <c r="B66" t="str">
        <f t="shared" si="70"/>
        <v/>
      </c>
      <c r="C66" t="str">
        <f t="shared" si="71"/>
        <v/>
      </c>
      <c r="D66" s="1">
        <f t="shared" si="72"/>
        <v>0</v>
      </c>
      <c r="E66" t="str">
        <f t="shared" si="73"/>
        <v/>
      </c>
      <c r="F66" s="1">
        <f t="shared" si="74"/>
        <v>0</v>
      </c>
      <c r="G66" s="1">
        <f t="shared" si="75"/>
        <v>1</v>
      </c>
      <c r="H66" s="1"/>
      <c r="I66" s="1">
        <f t="shared" si="76"/>
        <v>1900</v>
      </c>
      <c r="J66" s="32">
        <f t="shared" si="59"/>
        <v>21</v>
      </c>
      <c r="K66" s="32">
        <f t="shared" si="60"/>
        <v>9</v>
      </c>
      <c r="L66" s="32">
        <f t="shared" si="61"/>
        <v>117</v>
      </c>
      <c r="M66" s="1">
        <f t="shared" si="62"/>
        <v>117.80753424657534</v>
      </c>
      <c r="N66" s="1" t="str">
        <f t="shared" si="63"/>
        <v/>
      </c>
      <c r="O66" s="1" t="str">
        <f t="shared" si="64"/>
        <v/>
      </c>
      <c r="P66" t="str">
        <f t="shared" si="77"/>
        <v/>
      </c>
      <c r="Q66" s="1" t="str">
        <f t="shared" si="65"/>
        <v/>
      </c>
      <c r="S66" s="1" t="str">
        <f t="shared" si="66"/>
        <v/>
      </c>
      <c r="T66" s="1" t="str">
        <f t="shared" si="67"/>
        <v/>
      </c>
      <c r="U66" t="str">
        <f t="shared" si="78"/>
        <v/>
      </c>
      <c r="W66" t="str">
        <f t="shared" si="68"/>
        <v/>
      </c>
      <c r="X66" t="str">
        <f t="shared" si="79"/>
        <v/>
      </c>
      <c r="AC66" s="27"/>
      <c r="AG66"/>
      <c r="AI66"/>
      <c r="AJ66"/>
      <c r="AK66"/>
      <c r="AM66"/>
      <c r="AN66" s="1"/>
      <c r="AO66" s="1"/>
      <c r="AP66" s="1"/>
      <c r="AQ66" s="1"/>
      <c r="AX66"/>
      <c r="AY66"/>
      <c r="AZ66"/>
      <c r="BA66"/>
      <c r="BD66" s="1"/>
      <c r="BE66" s="1"/>
      <c r="BN66"/>
      <c r="BO66"/>
    </row>
    <row r="67" spans="1:67" hidden="1" x14ac:dyDescent="0.2">
      <c r="A67" s="261" t="str">
        <f t="shared" si="69"/>
        <v/>
      </c>
      <c r="B67" t="str">
        <f t="shared" si="70"/>
        <v/>
      </c>
      <c r="C67" t="str">
        <f t="shared" si="71"/>
        <v/>
      </c>
      <c r="D67" s="1">
        <f t="shared" si="72"/>
        <v>0</v>
      </c>
      <c r="E67" t="str">
        <f t="shared" si="73"/>
        <v/>
      </c>
      <c r="F67" s="1">
        <f t="shared" si="74"/>
        <v>0</v>
      </c>
      <c r="G67" s="1">
        <f t="shared" si="75"/>
        <v>1</v>
      </c>
      <c r="H67" s="1"/>
      <c r="I67" s="1">
        <f t="shared" si="76"/>
        <v>1900</v>
      </c>
      <c r="J67" s="32">
        <f t="shared" si="59"/>
        <v>21</v>
      </c>
      <c r="K67" s="32">
        <f t="shared" si="60"/>
        <v>9</v>
      </c>
      <c r="L67" s="32">
        <f t="shared" si="61"/>
        <v>117</v>
      </c>
      <c r="M67" s="1">
        <f t="shared" si="62"/>
        <v>117.80753424657534</v>
      </c>
      <c r="N67" s="1" t="str">
        <f t="shared" si="63"/>
        <v/>
      </c>
      <c r="O67" s="1" t="str">
        <f t="shared" si="64"/>
        <v/>
      </c>
      <c r="P67" t="str">
        <f t="shared" si="77"/>
        <v/>
      </c>
      <c r="Q67" s="1" t="str">
        <f t="shared" si="65"/>
        <v/>
      </c>
      <c r="S67" s="1" t="str">
        <f t="shared" si="66"/>
        <v/>
      </c>
      <c r="T67" s="1" t="str">
        <f t="shared" si="67"/>
        <v/>
      </c>
      <c r="U67" t="str">
        <f t="shared" si="78"/>
        <v/>
      </c>
      <c r="W67" t="str">
        <f t="shared" si="68"/>
        <v/>
      </c>
      <c r="X67" t="str">
        <f t="shared" si="79"/>
        <v/>
      </c>
      <c r="AC67" s="27"/>
      <c r="AG67"/>
      <c r="AI67"/>
      <c r="AJ67"/>
      <c r="AK67"/>
      <c r="AM67"/>
      <c r="AN67" s="1"/>
      <c r="AO67" s="1"/>
      <c r="AP67" s="1"/>
      <c r="AQ67" s="1"/>
      <c r="AX67"/>
      <c r="AY67"/>
      <c r="AZ67"/>
      <c r="BA67"/>
      <c r="BD67" s="1"/>
      <c r="BE67" s="1"/>
      <c r="BN67"/>
      <c r="BO67"/>
    </row>
    <row r="68" spans="1:67" hidden="1" x14ac:dyDescent="0.2">
      <c r="A68" s="261" t="str">
        <f t="shared" si="69"/>
        <v/>
      </c>
      <c r="B68" t="str">
        <f t="shared" si="70"/>
        <v/>
      </c>
      <c r="C68" t="str">
        <f t="shared" si="71"/>
        <v/>
      </c>
      <c r="D68" s="1">
        <f t="shared" si="72"/>
        <v>0</v>
      </c>
      <c r="E68" t="str">
        <f t="shared" si="73"/>
        <v/>
      </c>
      <c r="F68" s="1">
        <f t="shared" si="74"/>
        <v>0</v>
      </c>
      <c r="G68" s="1">
        <f t="shared" si="75"/>
        <v>1</v>
      </c>
      <c r="H68" s="1"/>
      <c r="I68" s="1">
        <f t="shared" si="76"/>
        <v>1900</v>
      </c>
      <c r="J68" s="32">
        <f t="shared" si="59"/>
        <v>21</v>
      </c>
      <c r="K68" s="32">
        <f t="shared" si="60"/>
        <v>9</v>
      </c>
      <c r="L68" s="32">
        <f t="shared" si="61"/>
        <v>117</v>
      </c>
      <c r="M68" s="1">
        <f t="shared" si="62"/>
        <v>117.80753424657534</v>
      </c>
      <c r="N68" s="1" t="str">
        <f t="shared" si="63"/>
        <v/>
      </c>
      <c r="O68" s="1" t="str">
        <f t="shared" si="64"/>
        <v/>
      </c>
      <c r="P68" t="str">
        <f t="shared" si="77"/>
        <v/>
      </c>
      <c r="Q68" s="1" t="str">
        <f t="shared" si="65"/>
        <v/>
      </c>
      <c r="S68" s="1" t="str">
        <f t="shared" si="66"/>
        <v/>
      </c>
      <c r="T68" s="1" t="str">
        <f t="shared" si="67"/>
        <v/>
      </c>
      <c r="U68" t="str">
        <f t="shared" si="78"/>
        <v/>
      </c>
      <c r="W68" t="str">
        <f t="shared" si="68"/>
        <v/>
      </c>
      <c r="X68" t="str">
        <f t="shared" si="79"/>
        <v/>
      </c>
      <c r="AC68" s="27"/>
      <c r="AG68"/>
      <c r="AI68"/>
      <c r="AJ68"/>
      <c r="AK68"/>
      <c r="AM68"/>
      <c r="AN68" s="1"/>
      <c r="AO68" s="1"/>
      <c r="AP68" s="1"/>
      <c r="AQ68" s="1"/>
      <c r="AX68"/>
      <c r="AY68"/>
      <c r="AZ68"/>
      <c r="BA68"/>
      <c r="BD68" s="1"/>
      <c r="BE68" s="1"/>
      <c r="BN68"/>
      <c r="BO68"/>
    </row>
    <row r="69" spans="1:67" hidden="1" x14ac:dyDescent="0.2">
      <c r="A69" s="261" t="str">
        <f t="shared" si="69"/>
        <v/>
      </c>
      <c r="B69" t="str">
        <f t="shared" si="70"/>
        <v/>
      </c>
      <c r="C69" t="str">
        <f t="shared" si="71"/>
        <v/>
      </c>
      <c r="D69" s="1">
        <f t="shared" si="72"/>
        <v>0</v>
      </c>
      <c r="E69" t="str">
        <f t="shared" si="73"/>
        <v/>
      </c>
      <c r="F69" s="1">
        <f t="shared" si="74"/>
        <v>0</v>
      </c>
      <c r="G69" s="1">
        <f t="shared" si="75"/>
        <v>1</v>
      </c>
      <c r="H69" s="1"/>
      <c r="I69" s="1">
        <f t="shared" si="76"/>
        <v>1900</v>
      </c>
      <c r="J69" s="32">
        <f t="shared" si="59"/>
        <v>21</v>
      </c>
      <c r="K69" s="32">
        <f t="shared" si="60"/>
        <v>9</v>
      </c>
      <c r="L69" s="32">
        <f t="shared" si="61"/>
        <v>117</v>
      </c>
      <c r="M69" s="1">
        <f t="shared" si="62"/>
        <v>117.80753424657534</v>
      </c>
      <c r="N69" s="1" t="str">
        <f t="shared" si="63"/>
        <v/>
      </c>
      <c r="O69" s="1" t="str">
        <f t="shared" si="64"/>
        <v/>
      </c>
      <c r="P69" t="str">
        <f t="shared" si="77"/>
        <v/>
      </c>
      <c r="Q69" s="1" t="str">
        <f t="shared" si="65"/>
        <v/>
      </c>
      <c r="S69" s="1" t="str">
        <f t="shared" si="66"/>
        <v/>
      </c>
      <c r="T69" s="1" t="str">
        <f t="shared" si="67"/>
        <v/>
      </c>
      <c r="U69" t="str">
        <f t="shared" si="78"/>
        <v/>
      </c>
      <c r="W69" t="str">
        <f t="shared" si="68"/>
        <v/>
      </c>
      <c r="X69" t="str">
        <f t="shared" si="79"/>
        <v/>
      </c>
      <c r="AC69" s="27"/>
      <c r="AG69"/>
      <c r="AI69"/>
      <c r="AJ69"/>
      <c r="AK69"/>
      <c r="AM69"/>
      <c r="AN69" s="1"/>
      <c r="AO69" s="1"/>
      <c r="AP69" s="1"/>
      <c r="AQ69" s="1"/>
      <c r="AX69"/>
      <c r="AY69"/>
      <c r="AZ69"/>
      <c r="BA69"/>
      <c r="BD69" s="1"/>
      <c r="BE69" s="1"/>
      <c r="BN69"/>
      <c r="BO69"/>
    </row>
    <row r="70" spans="1:67" hidden="1" x14ac:dyDescent="0.2">
      <c r="A70" s="261" t="str">
        <f t="shared" si="69"/>
        <v/>
      </c>
      <c r="B70" t="str">
        <f t="shared" si="70"/>
        <v/>
      </c>
      <c r="C70" t="str">
        <f t="shared" si="71"/>
        <v/>
      </c>
      <c r="D70" s="1">
        <f t="shared" si="72"/>
        <v>0</v>
      </c>
      <c r="E70" t="str">
        <f t="shared" si="73"/>
        <v/>
      </c>
      <c r="F70" s="1">
        <f t="shared" si="74"/>
        <v>0</v>
      </c>
      <c r="G70" s="1">
        <f t="shared" si="75"/>
        <v>1</v>
      </c>
      <c r="H70" s="1"/>
      <c r="I70" s="1">
        <f t="shared" si="76"/>
        <v>1900</v>
      </c>
      <c r="J70" s="32">
        <f t="shared" si="59"/>
        <v>21</v>
      </c>
      <c r="K70" s="32">
        <f t="shared" si="60"/>
        <v>9</v>
      </c>
      <c r="L70" s="32">
        <f t="shared" si="61"/>
        <v>117</v>
      </c>
      <c r="M70" s="1">
        <f t="shared" si="62"/>
        <v>117.80753424657534</v>
      </c>
      <c r="N70" s="1" t="str">
        <f t="shared" si="63"/>
        <v/>
      </c>
      <c r="O70" s="1" t="str">
        <f t="shared" si="64"/>
        <v/>
      </c>
      <c r="P70" t="str">
        <f t="shared" si="77"/>
        <v/>
      </c>
      <c r="Q70" s="1" t="str">
        <f t="shared" si="65"/>
        <v/>
      </c>
      <c r="S70" s="1" t="str">
        <f t="shared" si="66"/>
        <v/>
      </c>
      <c r="T70" s="1" t="str">
        <f t="shared" si="67"/>
        <v/>
      </c>
      <c r="U70" t="str">
        <f t="shared" si="78"/>
        <v/>
      </c>
      <c r="W70" t="str">
        <f t="shared" si="68"/>
        <v/>
      </c>
      <c r="X70" t="str">
        <f t="shared" si="79"/>
        <v/>
      </c>
      <c r="AC70" s="27"/>
      <c r="AG70"/>
      <c r="AI70"/>
      <c r="AJ70"/>
      <c r="AK70"/>
      <c r="AM70"/>
      <c r="AN70" s="1"/>
      <c r="AO70" s="1"/>
      <c r="AP70" s="1"/>
      <c r="AQ70" s="1"/>
      <c r="AX70"/>
      <c r="AY70"/>
      <c r="AZ70"/>
      <c r="BA70"/>
      <c r="BD70" s="1"/>
      <c r="BE70" s="1"/>
      <c r="BN70"/>
      <c r="BO70"/>
    </row>
    <row r="71" spans="1:67" hidden="1" x14ac:dyDescent="0.2">
      <c r="A71" s="261" t="str">
        <f t="shared" si="69"/>
        <v/>
      </c>
      <c r="B71" t="str">
        <f t="shared" si="70"/>
        <v/>
      </c>
      <c r="C71" t="str">
        <f t="shared" si="71"/>
        <v/>
      </c>
      <c r="D71" s="1">
        <f t="shared" si="72"/>
        <v>0</v>
      </c>
      <c r="E71" t="str">
        <f t="shared" si="73"/>
        <v/>
      </c>
      <c r="F71" s="1">
        <f t="shared" si="74"/>
        <v>0</v>
      </c>
      <c r="G71" s="1">
        <f t="shared" si="75"/>
        <v>1</v>
      </c>
      <c r="H71" s="1"/>
      <c r="I71" s="1">
        <f t="shared" si="76"/>
        <v>1900</v>
      </c>
      <c r="J71" s="32">
        <f t="shared" si="59"/>
        <v>21</v>
      </c>
      <c r="K71" s="32">
        <f t="shared" si="60"/>
        <v>9</v>
      </c>
      <c r="L71" s="32">
        <f t="shared" si="61"/>
        <v>117</v>
      </c>
      <c r="M71" s="1">
        <f t="shared" si="62"/>
        <v>117.80753424657534</v>
      </c>
      <c r="N71" s="1" t="str">
        <f t="shared" si="63"/>
        <v/>
      </c>
      <c r="O71" s="1" t="str">
        <f t="shared" si="64"/>
        <v/>
      </c>
      <c r="P71" t="str">
        <f t="shared" si="77"/>
        <v/>
      </c>
      <c r="Q71" s="1" t="str">
        <f t="shared" si="65"/>
        <v/>
      </c>
      <c r="S71" s="1" t="str">
        <f t="shared" si="66"/>
        <v/>
      </c>
      <c r="T71" s="1" t="str">
        <f t="shared" si="67"/>
        <v/>
      </c>
      <c r="U71" t="str">
        <f t="shared" si="78"/>
        <v/>
      </c>
      <c r="W71" t="str">
        <f t="shared" si="68"/>
        <v/>
      </c>
      <c r="X71" t="str">
        <f t="shared" si="79"/>
        <v/>
      </c>
      <c r="AC71" s="27"/>
      <c r="AG71"/>
      <c r="AI71"/>
      <c r="AJ71"/>
      <c r="AK71"/>
      <c r="AM71"/>
      <c r="AN71" s="1"/>
      <c r="AO71" s="1"/>
      <c r="AP71" s="1"/>
      <c r="AQ71" s="1"/>
      <c r="AX71"/>
      <c r="AY71"/>
      <c r="AZ71"/>
      <c r="BA71"/>
      <c r="BD71" s="1"/>
      <c r="BE71" s="1"/>
      <c r="BN71"/>
      <c r="BO71"/>
    </row>
    <row r="72" spans="1:67" hidden="1" x14ac:dyDescent="0.2">
      <c r="A72" s="261" t="str">
        <f t="shared" si="69"/>
        <v/>
      </c>
      <c r="B72" t="str">
        <f t="shared" si="70"/>
        <v/>
      </c>
      <c r="C72" t="str">
        <f t="shared" si="71"/>
        <v/>
      </c>
      <c r="D72" s="1">
        <f t="shared" si="72"/>
        <v>0</v>
      </c>
      <c r="E72" t="str">
        <f t="shared" si="73"/>
        <v/>
      </c>
      <c r="F72" s="1">
        <f t="shared" si="74"/>
        <v>0</v>
      </c>
      <c r="G72" s="1">
        <f t="shared" si="75"/>
        <v>1</v>
      </c>
      <c r="H72" s="1"/>
      <c r="I72" s="1">
        <f t="shared" si="76"/>
        <v>1900</v>
      </c>
      <c r="J72" s="32">
        <f t="shared" si="59"/>
        <v>21</v>
      </c>
      <c r="K72" s="32">
        <f t="shared" si="60"/>
        <v>9</v>
      </c>
      <c r="L72" s="32">
        <f t="shared" si="61"/>
        <v>117</v>
      </c>
      <c r="M72" s="1">
        <f t="shared" si="62"/>
        <v>117.80753424657534</v>
      </c>
      <c r="N72" s="1" t="str">
        <f t="shared" si="63"/>
        <v/>
      </c>
      <c r="O72" s="1" t="str">
        <f t="shared" si="64"/>
        <v/>
      </c>
      <c r="P72" t="str">
        <f t="shared" si="77"/>
        <v/>
      </c>
      <c r="Q72" s="1" t="str">
        <f t="shared" si="65"/>
        <v/>
      </c>
      <c r="S72" s="1" t="str">
        <f t="shared" si="66"/>
        <v/>
      </c>
      <c r="T72" s="1" t="str">
        <f t="shared" si="67"/>
        <v/>
      </c>
      <c r="U72" t="str">
        <f t="shared" si="78"/>
        <v/>
      </c>
      <c r="W72" t="str">
        <f t="shared" si="68"/>
        <v/>
      </c>
      <c r="X72" t="str">
        <f t="shared" si="79"/>
        <v/>
      </c>
      <c r="AC72" s="27"/>
      <c r="AG72"/>
      <c r="AI72"/>
      <c r="AJ72"/>
      <c r="AK72"/>
      <c r="AM72"/>
      <c r="AN72" s="1"/>
      <c r="AO72" s="1"/>
      <c r="AP72" s="1"/>
      <c r="AQ72" s="1"/>
      <c r="AX72"/>
      <c r="AY72"/>
      <c r="AZ72"/>
      <c r="BA72"/>
      <c r="BD72" s="1"/>
      <c r="BE72" s="1"/>
      <c r="BN72"/>
      <c r="BO72"/>
    </row>
    <row r="73" spans="1:67" hidden="1" x14ac:dyDescent="0.2">
      <c r="A73" s="261" t="str">
        <f t="shared" si="69"/>
        <v/>
      </c>
      <c r="B73" t="str">
        <f t="shared" si="70"/>
        <v/>
      </c>
      <c r="C73" t="str">
        <f t="shared" si="71"/>
        <v/>
      </c>
      <c r="D73" s="1">
        <f t="shared" si="72"/>
        <v>0</v>
      </c>
      <c r="E73" t="str">
        <f t="shared" si="73"/>
        <v/>
      </c>
      <c r="F73" s="1">
        <f t="shared" si="74"/>
        <v>0</v>
      </c>
      <c r="G73" s="1">
        <f t="shared" si="75"/>
        <v>1</v>
      </c>
      <c r="H73" s="1"/>
      <c r="I73" s="1">
        <f t="shared" si="76"/>
        <v>1900</v>
      </c>
      <c r="J73" s="32">
        <f t="shared" si="59"/>
        <v>21</v>
      </c>
      <c r="K73" s="32">
        <f t="shared" si="60"/>
        <v>9</v>
      </c>
      <c r="L73" s="32">
        <f t="shared" si="61"/>
        <v>117</v>
      </c>
      <c r="M73" s="1">
        <f t="shared" si="62"/>
        <v>117.80753424657534</v>
      </c>
      <c r="N73" s="1" t="str">
        <f t="shared" si="63"/>
        <v/>
      </c>
      <c r="O73" s="1" t="str">
        <f t="shared" si="64"/>
        <v/>
      </c>
      <c r="P73" t="str">
        <f t="shared" si="77"/>
        <v/>
      </c>
      <c r="Q73" s="1" t="str">
        <f t="shared" si="65"/>
        <v/>
      </c>
      <c r="S73" s="1" t="str">
        <f t="shared" si="66"/>
        <v/>
      </c>
      <c r="T73" s="1" t="str">
        <f t="shared" si="67"/>
        <v/>
      </c>
      <c r="U73" t="str">
        <f t="shared" si="78"/>
        <v/>
      </c>
      <c r="W73" t="str">
        <f t="shared" si="68"/>
        <v/>
      </c>
      <c r="X73" t="str">
        <f t="shared" si="79"/>
        <v/>
      </c>
      <c r="AC73" s="27"/>
      <c r="AG73"/>
      <c r="AI73"/>
      <c r="AJ73"/>
      <c r="AK73"/>
      <c r="AM73"/>
      <c r="AN73" s="1"/>
      <c r="AO73" s="1"/>
      <c r="AP73" s="1"/>
      <c r="AQ73" s="1"/>
      <c r="AX73"/>
      <c r="AY73"/>
      <c r="AZ73"/>
      <c r="BA73"/>
      <c r="BD73" s="1"/>
      <c r="BE73" s="1"/>
      <c r="BN73"/>
      <c r="BO73"/>
    </row>
    <row r="74" spans="1:67" hidden="1" x14ac:dyDescent="0.2">
      <c r="A74" s="261" t="str">
        <f t="shared" si="69"/>
        <v/>
      </c>
      <c r="B74" t="str">
        <f t="shared" si="70"/>
        <v/>
      </c>
      <c r="C74" t="str">
        <f t="shared" si="71"/>
        <v/>
      </c>
      <c r="D74" s="1">
        <f t="shared" si="72"/>
        <v>0</v>
      </c>
      <c r="E74" t="str">
        <f t="shared" si="73"/>
        <v/>
      </c>
      <c r="F74" s="1">
        <f t="shared" si="74"/>
        <v>0</v>
      </c>
      <c r="G74" s="1">
        <f t="shared" si="75"/>
        <v>1</v>
      </c>
      <c r="H74" s="1"/>
      <c r="I74" s="1">
        <f t="shared" si="76"/>
        <v>1900</v>
      </c>
      <c r="J74" s="32">
        <f t="shared" si="59"/>
        <v>21</v>
      </c>
      <c r="K74" s="32">
        <f t="shared" si="60"/>
        <v>9</v>
      </c>
      <c r="L74" s="32">
        <f t="shared" si="61"/>
        <v>117</v>
      </c>
      <c r="M74" s="1">
        <f t="shared" si="62"/>
        <v>117.80753424657534</v>
      </c>
      <c r="N74" s="1" t="str">
        <f t="shared" si="63"/>
        <v/>
      </c>
      <c r="O74" s="1" t="str">
        <f t="shared" si="64"/>
        <v/>
      </c>
      <c r="P74" t="str">
        <f t="shared" si="77"/>
        <v/>
      </c>
      <c r="Q74" s="1" t="str">
        <f t="shared" si="65"/>
        <v/>
      </c>
      <c r="S74" s="1" t="str">
        <f t="shared" si="66"/>
        <v/>
      </c>
      <c r="T74" s="1" t="str">
        <f t="shared" si="67"/>
        <v/>
      </c>
      <c r="U74" t="str">
        <f t="shared" si="78"/>
        <v/>
      </c>
      <c r="W74" t="str">
        <f t="shared" si="68"/>
        <v/>
      </c>
      <c r="X74" t="str">
        <f t="shared" si="79"/>
        <v/>
      </c>
      <c r="AC74" s="27"/>
      <c r="AG74"/>
      <c r="AI74"/>
      <c r="AJ74"/>
      <c r="AK74"/>
      <c r="AM74"/>
      <c r="AN74" s="1"/>
      <c r="AO74" s="1"/>
      <c r="AP74" s="1"/>
      <c r="AQ74" s="1"/>
      <c r="AX74"/>
      <c r="AY74"/>
      <c r="AZ74"/>
      <c r="BA74"/>
      <c r="BD74" s="1"/>
      <c r="BE74" s="1"/>
      <c r="BN74"/>
      <c r="BO74"/>
    </row>
    <row r="75" spans="1:67" hidden="1" x14ac:dyDescent="0.2">
      <c r="A75" s="261" t="str">
        <f t="shared" si="69"/>
        <v/>
      </c>
      <c r="B75" t="str">
        <f t="shared" si="70"/>
        <v/>
      </c>
      <c r="C75" t="str">
        <f t="shared" si="71"/>
        <v/>
      </c>
      <c r="D75" s="1">
        <f t="shared" si="72"/>
        <v>0</v>
      </c>
      <c r="E75" t="str">
        <f t="shared" si="73"/>
        <v/>
      </c>
      <c r="F75" s="1">
        <f t="shared" si="74"/>
        <v>0</v>
      </c>
      <c r="G75" s="1">
        <f t="shared" si="75"/>
        <v>1</v>
      </c>
      <c r="H75" s="1"/>
      <c r="I75" s="1">
        <f t="shared" si="76"/>
        <v>1900</v>
      </c>
      <c r="J75" s="32">
        <f t="shared" si="59"/>
        <v>21</v>
      </c>
      <c r="K75" s="32">
        <f t="shared" si="60"/>
        <v>9</v>
      </c>
      <c r="L75" s="32">
        <f t="shared" si="61"/>
        <v>117</v>
      </c>
      <c r="M75" s="1">
        <f t="shared" si="62"/>
        <v>117.80753424657534</v>
      </c>
      <c r="N75" s="1" t="str">
        <f t="shared" si="63"/>
        <v/>
      </c>
      <c r="O75" s="1" t="str">
        <f t="shared" si="64"/>
        <v/>
      </c>
      <c r="P75" t="str">
        <f t="shared" si="77"/>
        <v/>
      </c>
      <c r="Q75" s="1" t="str">
        <f t="shared" si="65"/>
        <v/>
      </c>
      <c r="S75" s="1" t="str">
        <f t="shared" si="66"/>
        <v/>
      </c>
      <c r="T75" s="1" t="str">
        <f t="shared" si="67"/>
        <v/>
      </c>
      <c r="U75" t="str">
        <f t="shared" si="78"/>
        <v/>
      </c>
      <c r="W75" t="str">
        <f t="shared" si="68"/>
        <v/>
      </c>
      <c r="X75" t="str">
        <f t="shared" si="79"/>
        <v/>
      </c>
      <c r="AC75" s="27"/>
      <c r="AG75"/>
      <c r="AI75"/>
      <c r="AJ75"/>
      <c r="AK75"/>
      <c r="AM75"/>
      <c r="AN75" s="1"/>
      <c r="AO75" s="1"/>
      <c r="AP75" s="1"/>
      <c r="AQ75" s="1"/>
      <c r="AX75"/>
      <c r="AY75"/>
      <c r="AZ75"/>
      <c r="BA75"/>
      <c r="BD75" s="1"/>
      <c r="BE75" s="1"/>
      <c r="BN75"/>
      <c r="BO75"/>
    </row>
    <row r="76" spans="1:67" hidden="1" x14ac:dyDescent="0.2">
      <c r="A76" s="261" t="str">
        <f t="shared" si="69"/>
        <v/>
      </c>
      <c r="B76" t="str">
        <f t="shared" si="70"/>
        <v/>
      </c>
      <c r="C76" t="str">
        <f t="shared" si="71"/>
        <v/>
      </c>
      <c r="D76" s="1">
        <f t="shared" si="72"/>
        <v>0</v>
      </c>
      <c r="E76" t="str">
        <f t="shared" si="73"/>
        <v/>
      </c>
      <c r="F76" s="1">
        <f t="shared" si="74"/>
        <v>0</v>
      </c>
      <c r="G76" s="1">
        <f t="shared" si="75"/>
        <v>1</v>
      </c>
      <c r="H76" s="1"/>
      <c r="I76" s="1">
        <f t="shared" si="76"/>
        <v>1900</v>
      </c>
      <c r="J76" s="32">
        <f t="shared" si="59"/>
        <v>21</v>
      </c>
      <c r="K76" s="32">
        <f t="shared" si="60"/>
        <v>9</v>
      </c>
      <c r="L76" s="32">
        <f t="shared" si="61"/>
        <v>117</v>
      </c>
      <c r="M76" s="1">
        <f t="shared" si="62"/>
        <v>117.80753424657534</v>
      </c>
      <c r="N76" s="1" t="str">
        <f t="shared" si="63"/>
        <v/>
      </c>
      <c r="O76" s="1" t="str">
        <f t="shared" si="64"/>
        <v/>
      </c>
      <c r="P76" t="str">
        <f t="shared" si="77"/>
        <v/>
      </c>
      <c r="Q76" s="1" t="str">
        <f t="shared" si="65"/>
        <v/>
      </c>
      <c r="S76" s="1" t="str">
        <f t="shared" si="66"/>
        <v/>
      </c>
      <c r="T76" s="1" t="str">
        <f t="shared" si="67"/>
        <v/>
      </c>
      <c r="U76" t="str">
        <f t="shared" si="78"/>
        <v/>
      </c>
      <c r="W76" t="str">
        <f t="shared" si="68"/>
        <v/>
      </c>
      <c r="X76" t="str">
        <f t="shared" si="79"/>
        <v/>
      </c>
      <c r="AC76" s="27"/>
      <c r="AG76"/>
      <c r="AI76"/>
      <c r="AJ76"/>
      <c r="AK76"/>
      <c r="AM76"/>
      <c r="AN76" s="1"/>
      <c r="AO76" s="1"/>
      <c r="AP76" s="1"/>
      <c r="AQ76" s="1"/>
      <c r="AX76"/>
      <c r="AY76"/>
      <c r="AZ76"/>
      <c r="BA76"/>
      <c r="BD76" s="1"/>
      <c r="BE76" s="1"/>
      <c r="BN76"/>
      <c r="BO76"/>
    </row>
    <row r="77" spans="1:67" hidden="1" x14ac:dyDescent="0.2">
      <c r="A77" s="261" t="str">
        <f t="shared" si="69"/>
        <v/>
      </c>
      <c r="B77" t="str">
        <f t="shared" si="70"/>
        <v/>
      </c>
      <c r="C77" t="str">
        <f t="shared" si="71"/>
        <v/>
      </c>
      <c r="D77" s="1">
        <f t="shared" si="72"/>
        <v>0</v>
      </c>
      <c r="E77" t="str">
        <f t="shared" si="73"/>
        <v/>
      </c>
      <c r="F77" s="1">
        <f t="shared" si="74"/>
        <v>0</v>
      </c>
      <c r="G77" s="1">
        <f t="shared" si="75"/>
        <v>1</v>
      </c>
      <c r="H77" s="1"/>
      <c r="I77" s="1">
        <f t="shared" si="76"/>
        <v>1900</v>
      </c>
      <c r="J77" s="32">
        <f t="shared" si="59"/>
        <v>21</v>
      </c>
      <c r="K77" s="32">
        <f t="shared" si="60"/>
        <v>9</v>
      </c>
      <c r="L77" s="32">
        <f t="shared" si="61"/>
        <v>117</v>
      </c>
      <c r="M77" s="1">
        <f t="shared" si="62"/>
        <v>117.80753424657534</v>
      </c>
      <c r="N77" s="1" t="str">
        <f t="shared" si="63"/>
        <v/>
      </c>
      <c r="O77" s="1" t="str">
        <f t="shared" si="64"/>
        <v/>
      </c>
      <c r="P77" t="str">
        <f t="shared" si="77"/>
        <v/>
      </c>
      <c r="Q77" s="1" t="str">
        <f t="shared" si="65"/>
        <v/>
      </c>
      <c r="S77" s="1" t="str">
        <f t="shared" si="66"/>
        <v/>
      </c>
      <c r="T77" s="1" t="str">
        <f t="shared" si="67"/>
        <v/>
      </c>
      <c r="U77" t="str">
        <f t="shared" si="78"/>
        <v/>
      </c>
      <c r="W77" t="str">
        <f t="shared" si="68"/>
        <v/>
      </c>
      <c r="X77" t="str">
        <f t="shared" si="79"/>
        <v/>
      </c>
      <c r="AC77" s="27"/>
      <c r="AG77"/>
      <c r="AI77"/>
      <c r="AJ77"/>
      <c r="AK77"/>
      <c r="AM77"/>
      <c r="AN77" s="1"/>
      <c r="AO77" s="1"/>
      <c r="AP77" s="1"/>
      <c r="AQ77" s="1"/>
      <c r="AX77"/>
      <c r="AY77"/>
      <c r="AZ77"/>
      <c r="BA77"/>
      <c r="BD77" s="1"/>
      <c r="BE77" s="1"/>
      <c r="BN77"/>
      <c r="BO77"/>
    </row>
    <row r="78" spans="1:67" hidden="1" x14ac:dyDescent="0.2">
      <c r="A78" s="261" t="str">
        <f t="shared" si="69"/>
        <v/>
      </c>
      <c r="B78" t="str">
        <f t="shared" si="70"/>
        <v/>
      </c>
      <c r="C78" t="str">
        <f t="shared" si="71"/>
        <v/>
      </c>
      <c r="D78" s="1">
        <f t="shared" si="72"/>
        <v>0</v>
      </c>
      <c r="E78" t="str">
        <f t="shared" si="73"/>
        <v/>
      </c>
      <c r="F78" s="1">
        <f t="shared" si="74"/>
        <v>0</v>
      </c>
      <c r="G78" s="1">
        <f t="shared" si="75"/>
        <v>1</v>
      </c>
      <c r="H78" s="1"/>
      <c r="I78" s="1">
        <f t="shared" si="76"/>
        <v>1900</v>
      </c>
      <c r="J78" s="32">
        <f t="shared" si="59"/>
        <v>21</v>
      </c>
      <c r="K78" s="32">
        <f t="shared" si="60"/>
        <v>9</v>
      </c>
      <c r="L78" s="32">
        <f t="shared" si="61"/>
        <v>117</v>
      </c>
      <c r="M78" s="1">
        <f t="shared" si="62"/>
        <v>117.80753424657534</v>
      </c>
      <c r="N78" s="1" t="str">
        <f t="shared" si="63"/>
        <v/>
      </c>
      <c r="O78" s="1" t="str">
        <f t="shared" si="64"/>
        <v/>
      </c>
      <c r="P78" t="str">
        <f t="shared" si="77"/>
        <v/>
      </c>
      <c r="Q78" s="1" t="str">
        <f t="shared" si="65"/>
        <v/>
      </c>
      <c r="S78" s="1" t="str">
        <f t="shared" si="66"/>
        <v/>
      </c>
      <c r="T78" s="1" t="str">
        <f t="shared" si="67"/>
        <v/>
      </c>
      <c r="U78" t="str">
        <f t="shared" si="78"/>
        <v/>
      </c>
      <c r="W78" t="str">
        <f t="shared" si="68"/>
        <v/>
      </c>
      <c r="X78" t="str">
        <f t="shared" si="79"/>
        <v/>
      </c>
      <c r="AA78">
        <f>SUM(AA82:AA102)</f>
        <v>0</v>
      </c>
      <c r="AC78" s="27"/>
      <c r="AG78"/>
      <c r="AI78"/>
      <c r="AJ78"/>
      <c r="AK78"/>
      <c r="AM78"/>
      <c r="AN78" s="1"/>
      <c r="AO78" s="1"/>
      <c r="AP78" s="1"/>
      <c r="AQ78" s="1"/>
      <c r="AX78"/>
      <c r="AY78"/>
      <c r="AZ78"/>
      <c r="BA78"/>
      <c r="BD78" s="1"/>
      <c r="BE78" s="1"/>
      <c r="BN78"/>
      <c r="BO78"/>
    </row>
    <row r="79" spans="1:67" hidden="1" x14ac:dyDescent="0.2">
      <c r="A79" s="261" t="str">
        <f t="shared" si="69"/>
        <v/>
      </c>
      <c r="B79" t="str">
        <f t="shared" si="70"/>
        <v/>
      </c>
      <c r="C79" t="str">
        <f t="shared" si="71"/>
        <v/>
      </c>
      <c r="D79" s="1">
        <f t="shared" si="72"/>
        <v>0</v>
      </c>
      <c r="E79" t="str">
        <f t="shared" si="73"/>
        <v/>
      </c>
      <c r="F79" s="1">
        <f t="shared" si="74"/>
        <v>0</v>
      </c>
      <c r="G79" s="1">
        <f t="shared" si="75"/>
        <v>1</v>
      </c>
      <c r="H79" s="1"/>
      <c r="I79" s="1">
        <f t="shared" si="76"/>
        <v>1900</v>
      </c>
      <c r="J79" s="32">
        <f t="shared" si="59"/>
        <v>21</v>
      </c>
      <c r="K79" s="32">
        <f t="shared" si="60"/>
        <v>9</v>
      </c>
      <c r="L79" s="32">
        <f t="shared" si="61"/>
        <v>117</v>
      </c>
      <c r="M79" s="1">
        <f t="shared" si="62"/>
        <v>117.80753424657534</v>
      </c>
      <c r="N79" s="1" t="str">
        <f t="shared" si="63"/>
        <v/>
      </c>
      <c r="O79" s="1" t="str">
        <f t="shared" si="64"/>
        <v/>
      </c>
      <c r="P79" t="str">
        <f t="shared" si="77"/>
        <v/>
      </c>
      <c r="Q79" s="1" t="str">
        <f t="shared" si="65"/>
        <v/>
      </c>
      <c r="S79" s="1" t="str">
        <f t="shared" si="66"/>
        <v/>
      </c>
      <c r="T79" s="1" t="str">
        <f t="shared" si="67"/>
        <v/>
      </c>
      <c r="U79" t="str">
        <f t="shared" si="78"/>
        <v/>
      </c>
      <c r="W79" t="str">
        <f t="shared" si="68"/>
        <v/>
      </c>
      <c r="X79" t="str">
        <f t="shared" si="79"/>
        <v/>
      </c>
      <c r="AC79" s="27"/>
      <c r="AG79"/>
      <c r="AI79"/>
      <c r="AJ79"/>
      <c r="AK79"/>
      <c r="AM79"/>
      <c r="AN79" s="1"/>
      <c r="AO79" s="1"/>
      <c r="AP79" s="1"/>
      <c r="AQ79" s="1"/>
      <c r="AX79"/>
      <c r="AY79"/>
      <c r="AZ79"/>
      <c r="BA79"/>
      <c r="BD79" s="1"/>
      <c r="BE79" s="1"/>
      <c r="BN79"/>
      <c r="BO79"/>
    </row>
    <row r="80" spans="1:67" hidden="1" x14ac:dyDescent="0.2">
      <c r="A80" s="261" t="str">
        <f t="shared" si="69"/>
        <v/>
      </c>
      <c r="B80" t="str">
        <f t="shared" si="70"/>
        <v/>
      </c>
      <c r="C80" t="str">
        <f t="shared" si="71"/>
        <v/>
      </c>
      <c r="D80" s="1">
        <f t="shared" si="72"/>
        <v>0</v>
      </c>
      <c r="E80" t="str">
        <f t="shared" si="73"/>
        <v/>
      </c>
      <c r="F80" s="1">
        <f t="shared" si="74"/>
        <v>0</v>
      </c>
      <c r="G80" s="1">
        <f t="shared" si="75"/>
        <v>1</v>
      </c>
      <c r="H80" s="1"/>
      <c r="I80" s="1">
        <f t="shared" si="76"/>
        <v>1900</v>
      </c>
      <c r="J80" s="32">
        <f t="shared" si="59"/>
        <v>21</v>
      </c>
      <c r="K80" s="32">
        <f t="shared" si="60"/>
        <v>9</v>
      </c>
      <c r="L80" s="32">
        <f t="shared" si="61"/>
        <v>117</v>
      </c>
      <c r="M80" s="1">
        <f t="shared" si="62"/>
        <v>117.80753424657534</v>
      </c>
      <c r="N80" s="1" t="str">
        <f t="shared" si="63"/>
        <v/>
      </c>
      <c r="O80" s="1" t="str">
        <f t="shared" si="64"/>
        <v/>
      </c>
      <c r="P80" t="str">
        <f t="shared" si="77"/>
        <v/>
      </c>
      <c r="Q80" s="1" t="str">
        <f t="shared" si="65"/>
        <v/>
      </c>
      <c r="S80" s="1" t="str">
        <f t="shared" si="66"/>
        <v/>
      </c>
      <c r="T80" s="1" t="str">
        <f t="shared" si="67"/>
        <v/>
      </c>
      <c r="U80" t="str">
        <f t="shared" si="78"/>
        <v/>
      </c>
      <c r="W80" t="str">
        <f t="shared" si="68"/>
        <v/>
      </c>
      <c r="X80" t="str">
        <f t="shared" si="79"/>
        <v/>
      </c>
      <c r="Y80" t="s">
        <v>337</v>
      </c>
      <c r="Z80" t="str">
        <f>CONCATENATE(Z85,Z87,Z88,Z89,Z90,Z91,Z92,Z93,Z94,Z95,Z96,Z97,Z98,Z99,Z100,Z101,Z102)</f>
        <v/>
      </c>
      <c r="AC80" s="27"/>
      <c r="AG80"/>
      <c r="AI80"/>
      <c r="AJ80"/>
      <c r="AK80"/>
      <c r="AM80"/>
      <c r="AN80" s="1"/>
      <c r="AO80" s="1"/>
      <c r="AP80" s="1"/>
      <c r="AQ80" s="1"/>
      <c r="AX80"/>
      <c r="AY80"/>
      <c r="AZ80"/>
      <c r="BA80"/>
      <c r="BD80" s="1"/>
      <c r="BE80" s="1"/>
      <c r="BN80"/>
      <c r="BO80"/>
    </row>
    <row r="81" spans="1:67" hidden="1" x14ac:dyDescent="0.2">
      <c r="A81" s="261" t="str">
        <f t="shared" si="69"/>
        <v/>
      </c>
      <c r="B81" t="str">
        <f t="shared" si="70"/>
        <v/>
      </c>
      <c r="C81" t="str">
        <f t="shared" si="71"/>
        <v/>
      </c>
      <c r="D81" s="1">
        <f t="shared" si="72"/>
        <v>0</v>
      </c>
      <c r="E81" t="str">
        <f t="shared" si="73"/>
        <v/>
      </c>
      <c r="F81" s="1">
        <f t="shared" si="74"/>
        <v>0</v>
      </c>
      <c r="G81" s="1">
        <f t="shared" si="75"/>
        <v>1</v>
      </c>
      <c r="H81" s="1"/>
      <c r="I81" s="1">
        <f t="shared" si="76"/>
        <v>1900</v>
      </c>
      <c r="J81" s="32">
        <f t="shared" si="59"/>
        <v>21</v>
      </c>
      <c r="K81" s="32">
        <f t="shared" si="60"/>
        <v>9</v>
      </c>
      <c r="L81" s="32">
        <f t="shared" si="61"/>
        <v>117</v>
      </c>
      <c r="M81" s="1">
        <f t="shared" si="62"/>
        <v>117.80753424657534</v>
      </c>
      <c r="N81" s="1" t="str">
        <f t="shared" si="63"/>
        <v/>
      </c>
      <c r="O81" s="1" t="str">
        <f t="shared" si="64"/>
        <v/>
      </c>
      <c r="P81" t="str">
        <f t="shared" si="77"/>
        <v/>
      </c>
      <c r="Q81" s="1" t="str">
        <f t="shared" si="65"/>
        <v/>
      </c>
      <c r="S81" s="1" t="str">
        <f t="shared" si="66"/>
        <v/>
      </c>
      <c r="T81" s="1" t="str">
        <f t="shared" si="67"/>
        <v/>
      </c>
      <c r="U81" t="str">
        <f t="shared" si="78"/>
        <v/>
      </c>
      <c r="W81" t="str">
        <f t="shared" si="68"/>
        <v/>
      </c>
      <c r="X81" t="str">
        <f t="shared" si="79"/>
        <v/>
      </c>
      <c r="AC81" s="27"/>
      <c r="AG81"/>
      <c r="AI81"/>
      <c r="AJ81"/>
      <c r="AK81"/>
      <c r="AM81"/>
      <c r="AN81" s="1"/>
      <c r="AO81" s="1"/>
      <c r="AP81" s="1"/>
      <c r="AQ81" s="1"/>
      <c r="AX81"/>
      <c r="AY81"/>
      <c r="AZ81"/>
      <c r="BA81"/>
      <c r="BD81" s="1"/>
      <c r="BE81" s="1"/>
      <c r="BN81"/>
      <c r="BO81"/>
    </row>
    <row r="82" spans="1:67" hidden="1" x14ac:dyDescent="0.2">
      <c r="A82" s="261" t="str">
        <f t="shared" si="69"/>
        <v/>
      </c>
      <c r="B82" t="str">
        <f t="shared" si="70"/>
        <v/>
      </c>
      <c r="C82" t="str">
        <f t="shared" si="71"/>
        <v/>
      </c>
      <c r="D82" s="1">
        <f t="shared" si="72"/>
        <v>0</v>
      </c>
      <c r="E82" t="str">
        <f t="shared" si="73"/>
        <v/>
      </c>
      <c r="F82" s="1">
        <f t="shared" si="74"/>
        <v>0</v>
      </c>
      <c r="G82" s="1">
        <f t="shared" si="75"/>
        <v>1</v>
      </c>
      <c r="H82" s="1"/>
      <c r="I82" s="1">
        <f t="shared" si="76"/>
        <v>1900</v>
      </c>
      <c r="J82" s="32">
        <f t="shared" si="59"/>
        <v>21</v>
      </c>
      <c r="K82" s="32">
        <f t="shared" si="60"/>
        <v>9</v>
      </c>
      <c r="L82" s="32">
        <f t="shared" si="61"/>
        <v>117</v>
      </c>
      <c r="M82" s="1">
        <f t="shared" si="62"/>
        <v>117.80753424657534</v>
      </c>
      <c r="N82" s="1" t="str">
        <f t="shared" si="63"/>
        <v/>
      </c>
      <c r="O82" s="1" t="str">
        <f t="shared" si="64"/>
        <v/>
      </c>
      <c r="P82" t="str">
        <f t="shared" si="77"/>
        <v/>
      </c>
      <c r="Q82" s="1" t="str">
        <f t="shared" si="65"/>
        <v/>
      </c>
      <c r="S82" s="1" t="str">
        <f t="shared" si="66"/>
        <v/>
      </c>
      <c r="T82" s="1" t="str">
        <f t="shared" si="67"/>
        <v/>
      </c>
      <c r="U82" t="str">
        <f t="shared" si="78"/>
        <v/>
      </c>
      <c r="W82" t="str">
        <f t="shared" si="68"/>
        <v/>
      </c>
      <c r="X82" t="str">
        <f t="shared" si="79"/>
        <v/>
      </c>
      <c r="AC82" s="27"/>
      <c r="AG82"/>
      <c r="AI82"/>
      <c r="AJ82"/>
      <c r="AK82"/>
      <c r="AM82"/>
      <c r="AN82" s="1"/>
      <c r="AO82" s="1"/>
      <c r="AP82" s="1"/>
      <c r="AQ82" s="1"/>
      <c r="AX82"/>
      <c r="AY82"/>
      <c r="AZ82"/>
      <c r="BA82"/>
      <c r="BD82" s="1"/>
      <c r="BE82" s="1"/>
      <c r="BN82"/>
      <c r="BO82"/>
    </row>
    <row r="83" spans="1:67" hidden="1" x14ac:dyDescent="0.2">
      <c r="A83" s="261" t="str">
        <f t="shared" si="69"/>
        <v/>
      </c>
      <c r="B83" t="str">
        <f t="shared" si="70"/>
        <v/>
      </c>
      <c r="C83" t="str">
        <f t="shared" si="71"/>
        <v/>
      </c>
      <c r="D83" s="1">
        <f t="shared" si="72"/>
        <v>0</v>
      </c>
      <c r="E83" t="str">
        <f t="shared" si="73"/>
        <v/>
      </c>
      <c r="F83" s="1">
        <f t="shared" si="74"/>
        <v>0</v>
      </c>
      <c r="G83" s="1">
        <f t="shared" si="75"/>
        <v>1</v>
      </c>
      <c r="H83" s="1"/>
      <c r="I83" s="1">
        <f t="shared" si="76"/>
        <v>1900</v>
      </c>
      <c r="J83" s="32">
        <f t="shared" si="59"/>
        <v>21</v>
      </c>
      <c r="K83" s="32">
        <f t="shared" si="60"/>
        <v>9</v>
      </c>
      <c r="L83" s="32">
        <f t="shared" si="61"/>
        <v>117</v>
      </c>
      <c r="M83" s="1">
        <f t="shared" si="62"/>
        <v>117.80753424657534</v>
      </c>
      <c r="N83" s="1" t="str">
        <f t="shared" si="63"/>
        <v/>
      </c>
      <c r="O83" s="1" t="str">
        <f t="shared" si="64"/>
        <v/>
      </c>
      <c r="P83" t="str">
        <f t="shared" si="77"/>
        <v/>
      </c>
      <c r="Q83" s="1" t="str">
        <f t="shared" si="65"/>
        <v/>
      </c>
      <c r="S83" s="1" t="str">
        <f t="shared" si="66"/>
        <v/>
      </c>
      <c r="T83" s="1" t="str">
        <f t="shared" si="67"/>
        <v/>
      </c>
      <c r="U83" t="str">
        <f t="shared" si="78"/>
        <v/>
      </c>
      <c r="W83" t="str">
        <f t="shared" si="68"/>
        <v/>
      </c>
      <c r="X83" t="str">
        <f t="shared" si="79"/>
        <v/>
      </c>
      <c r="AC83" s="27"/>
      <c r="AG83"/>
      <c r="AI83"/>
      <c r="AJ83"/>
      <c r="AK83"/>
      <c r="AM83"/>
      <c r="AN83" s="1"/>
      <c r="AO83" s="1"/>
      <c r="AP83" s="1"/>
      <c r="AQ83" s="1"/>
      <c r="AX83"/>
      <c r="AY83"/>
      <c r="AZ83"/>
      <c r="BA83"/>
      <c r="BD83" s="1"/>
      <c r="BE83" s="1"/>
      <c r="BN83"/>
      <c r="BO83"/>
    </row>
    <row r="84" spans="1:67" ht="13.5" hidden="1" thickBot="1" x14ac:dyDescent="0.25">
      <c r="A84" s="261" t="str">
        <f t="shared" si="69"/>
        <v/>
      </c>
      <c r="B84" t="str">
        <f t="shared" si="70"/>
        <v/>
      </c>
      <c r="C84" t="str">
        <f t="shared" si="71"/>
        <v/>
      </c>
      <c r="D84" s="1">
        <f t="shared" si="72"/>
        <v>0</v>
      </c>
      <c r="E84" t="str">
        <f t="shared" si="73"/>
        <v/>
      </c>
      <c r="F84" s="1">
        <f t="shared" si="74"/>
        <v>0</v>
      </c>
      <c r="G84" s="1">
        <f t="shared" si="75"/>
        <v>1</v>
      </c>
      <c r="H84" s="1"/>
      <c r="I84" s="1">
        <f t="shared" si="76"/>
        <v>1900</v>
      </c>
      <c r="J84" s="32">
        <f t="shared" si="59"/>
        <v>21</v>
      </c>
      <c r="K84" s="32">
        <f t="shared" si="60"/>
        <v>9</v>
      </c>
      <c r="L84" s="32">
        <f t="shared" si="61"/>
        <v>117</v>
      </c>
      <c r="M84" s="1">
        <f t="shared" si="62"/>
        <v>117.80753424657534</v>
      </c>
      <c r="N84" s="1" t="str">
        <f t="shared" si="63"/>
        <v/>
      </c>
      <c r="O84" s="1" t="str">
        <f t="shared" si="64"/>
        <v/>
      </c>
      <c r="P84" t="str">
        <f t="shared" si="77"/>
        <v/>
      </c>
      <c r="Q84" s="1" t="str">
        <f t="shared" si="65"/>
        <v/>
      </c>
      <c r="S84" s="1" t="str">
        <f t="shared" si="66"/>
        <v/>
      </c>
      <c r="T84" s="1" t="str">
        <f t="shared" si="67"/>
        <v/>
      </c>
      <c r="U84" t="str">
        <f t="shared" si="78"/>
        <v/>
      </c>
      <c r="W84" t="str">
        <f t="shared" si="68"/>
        <v/>
      </c>
      <c r="X84" t="str">
        <f t="shared" si="79"/>
        <v/>
      </c>
      <c r="Y84" t="s">
        <v>330</v>
      </c>
      <c r="Z84" s="335" t="s">
        <v>609</v>
      </c>
      <c r="AC84" s="27"/>
      <c r="AG84"/>
      <c r="AI84"/>
      <c r="AJ84"/>
      <c r="AK84"/>
      <c r="AM84"/>
      <c r="AN84" s="1"/>
      <c r="AO84" s="1"/>
      <c r="AP84" s="1"/>
      <c r="AQ84" s="1"/>
      <c r="AX84"/>
      <c r="AY84"/>
      <c r="AZ84"/>
      <c r="BA84"/>
      <c r="BD84" s="1"/>
      <c r="BE84" s="1"/>
      <c r="BN84"/>
      <c r="BO84"/>
    </row>
    <row r="85" spans="1:67" ht="13.5" hidden="1" thickBot="1" x14ac:dyDescent="0.25">
      <c r="G85" s="482" t="s">
        <v>332</v>
      </c>
      <c r="H85" s="483"/>
      <c r="I85" s="484"/>
      <c r="J85" s="484"/>
      <c r="K85" s="484"/>
      <c r="L85" s="484"/>
      <c r="M85" s="484"/>
      <c r="N85" s="484"/>
      <c r="O85" s="113">
        <f>SUM(O58:O82)</f>
        <v>0</v>
      </c>
      <c r="P85" s="114">
        <f>SUM(P58:P82)</f>
        <v>0</v>
      </c>
      <c r="Q85" s="100">
        <f>SUM(Q58:Q82)</f>
        <v>0</v>
      </c>
      <c r="R85" s="114">
        <f>S85+T85</f>
        <v>0</v>
      </c>
      <c r="S85" s="100">
        <f>SUM(S58:S82)</f>
        <v>0</v>
      </c>
      <c r="T85" s="101">
        <f>SUM(T58:T82)</f>
        <v>0</v>
      </c>
      <c r="U85" s="115">
        <f>SUM(O85,Q85,S85:T85)</f>
        <v>0</v>
      </c>
      <c r="V85" s="404"/>
      <c r="X85" s="117" t="s">
        <v>339</v>
      </c>
      <c r="Y85" s="116" t="str">
        <f>IF(COUNTBLANK(D10)=0,CHOOSE(D10,12,8,20,12,9),"")</f>
        <v/>
      </c>
      <c r="Z85" s="336" t="str">
        <f>IF(U85&gt;Y85,"Team too big. ","")</f>
        <v/>
      </c>
      <c r="AA85" s="116">
        <f>IF(COUNTBLANK(Z85)=0,1,0)</f>
        <v>0</v>
      </c>
      <c r="AC85" s="27"/>
      <c r="AG85"/>
      <c r="AI85"/>
      <c r="AJ85"/>
      <c r="AK85"/>
      <c r="AM85"/>
      <c r="AN85" s="1"/>
      <c r="AO85" s="1"/>
      <c r="AP85" s="1"/>
      <c r="AQ85" s="1"/>
      <c r="AX85"/>
      <c r="AY85"/>
      <c r="AZ85"/>
      <c r="BA85"/>
      <c r="BD85" s="1"/>
      <c r="BE85" s="1"/>
      <c r="BN85"/>
      <c r="BO85"/>
    </row>
    <row r="86" spans="1:67" hidden="1" x14ac:dyDescent="0.2">
      <c r="Z86" s="337"/>
      <c r="AA86" s="116">
        <f t="shared" ref="AA86:AA102" si="80">IF(COUNTBLANK(Z86)=0,1,0)</f>
        <v>0</v>
      </c>
      <c r="AC86" s="27"/>
      <c r="AG86"/>
      <c r="AI86"/>
      <c r="AJ86"/>
      <c r="AK86"/>
      <c r="AM86"/>
      <c r="AN86" s="1"/>
      <c r="AO86" s="1"/>
      <c r="AP86" s="1"/>
      <c r="AQ86" s="1"/>
      <c r="AX86"/>
      <c r="AY86"/>
      <c r="AZ86"/>
      <c r="BA86"/>
      <c r="BD86" s="1"/>
      <c r="BE86" s="1"/>
      <c r="BN86"/>
      <c r="BO86"/>
    </row>
    <row r="87" spans="1:67" hidden="1" x14ac:dyDescent="0.2">
      <c r="X87" s="117" t="s">
        <v>338</v>
      </c>
      <c r="Y87" s="1" t="s">
        <v>340</v>
      </c>
      <c r="Z87" s="336" t="str">
        <f>IF( OR( AND(D10=5,S85&gt;3),AND(D10=4,R85&gt;3), AND(D10=3,R85&gt;5),AND(D10=2,R85&gt;2),(AND(D10=1,R85&gt;3))),"Too many Over 18s; ","")</f>
        <v/>
      </c>
      <c r="AA87" s="116">
        <f t="shared" si="80"/>
        <v>0</v>
      </c>
      <c r="AC87" s="27"/>
      <c r="AG87"/>
      <c r="AI87"/>
      <c r="AJ87"/>
      <c r="AK87"/>
      <c r="AM87"/>
      <c r="AN87" s="1"/>
      <c r="AO87" s="1"/>
      <c r="AP87" s="1"/>
      <c r="AQ87" s="1"/>
      <c r="AX87"/>
      <c r="AY87"/>
      <c r="AZ87"/>
      <c r="BA87"/>
      <c r="BD87" s="1"/>
      <c r="BE87" s="1"/>
      <c r="BN87"/>
      <c r="BO87"/>
    </row>
    <row r="88" spans="1:67" hidden="1" x14ac:dyDescent="0.2">
      <c r="X88" s="117" t="s">
        <v>341</v>
      </c>
      <c r="Y88" s="1" t="s">
        <v>342</v>
      </c>
      <c r="Z88" s="338" t="str">
        <f>IF(AND(D10=5,T85&gt;3),"Too many Over 25s; ","")</f>
        <v/>
      </c>
      <c r="AA88" s="116">
        <f t="shared" si="80"/>
        <v>0</v>
      </c>
      <c r="AC88" s="27"/>
      <c r="AG88"/>
      <c r="AI88"/>
      <c r="AJ88"/>
      <c r="AK88"/>
      <c r="AM88"/>
      <c r="AN88" s="1"/>
      <c r="AO88" s="1"/>
      <c r="AP88" s="1"/>
      <c r="AQ88" s="1"/>
      <c r="AX88"/>
      <c r="AY88"/>
      <c r="AZ88"/>
      <c r="BA88"/>
      <c r="BD88" s="1"/>
      <c r="BE88" s="1"/>
      <c r="BN88"/>
      <c r="BO88"/>
    </row>
    <row r="89" spans="1:67" hidden="1" x14ac:dyDescent="0.2">
      <c r="X89" s="117" t="s">
        <v>344</v>
      </c>
      <c r="Y89" t="s">
        <v>343</v>
      </c>
      <c r="Z89" s="338" t="str">
        <f>IF(AND(D$10=1,(O$85+Q$85)&gt;9),"Too many young members; ","")</f>
        <v/>
      </c>
      <c r="AA89" s="116">
        <f t="shared" si="80"/>
        <v>0</v>
      </c>
      <c r="AC89" s="27"/>
      <c r="AG89"/>
      <c r="AI89"/>
      <c r="AJ89"/>
      <c r="AK89"/>
      <c r="AM89"/>
      <c r="AN89" s="1"/>
      <c r="AO89" s="1"/>
      <c r="AP89" s="1"/>
      <c r="AQ89" s="1"/>
      <c r="AX89"/>
      <c r="AY89"/>
      <c r="AZ89"/>
      <c r="BA89"/>
      <c r="BD89" s="1"/>
      <c r="BE89" s="1"/>
      <c r="BN89"/>
      <c r="BO89"/>
    </row>
    <row r="90" spans="1:67" hidden="1" x14ac:dyDescent="0.2">
      <c r="X90" s="117" t="s">
        <v>345</v>
      </c>
      <c r="Y90" t="s">
        <v>343</v>
      </c>
      <c r="Z90" s="338" t="str">
        <f>IF(AND(D$10=1,(Q$85)&gt;2),"Too many Over 14s; ","")</f>
        <v/>
      </c>
      <c r="AA90" s="116">
        <f t="shared" si="80"/>
        <v>0</v>
      </c>
      <c r="AC90" s="27"/>
      <c r="AG90"/>
      <c r="AI90"/>
      <c r="AJ90"/>
      <c r="AK90"/>
      <c r="AM90"/>
      <c r="AN90" s="1"/>
      <c r="AO90" s="1"/>
      <c r="AP90" s="1"/>
      <c r="AQ90" s="1"/>
      <c r="AX90"/>
      <c r="AY90"/>
      <c r="AZ90"/>
      <c r="BA90"/>
      <c r="BD90" s="1"/>
      <c r="BE90" s="1"/>
      <c r="BN90"/>
      <c r="BO90"/>
    </row>
    <row r="91" spans="1:67" hidden="1" x14ac:dyDescent="0.2">
      <c r="X91" s="117" t="s">
        <v>345</v>
      </c>
      <c r="Y91" t="s">
        <v>346</v>
      </c>
      <c r="Z91" s="338" t="str">
        <f>IF(AND(D$10=2,(Q$85)&gt;6),"Too many Explorers; ","")</f>
        <v/>
      </c>
      <c r="AA91" s="116">
        <f t="shared" si="80"/>
        <v>0</v>
      </c>
      <c r="AC91" s="27"/>
      <c r="AG91"/>
      <c r="AI91"/>
      <c r="AJ91"/>
      <c r="AK91"/>
      <c r="AM91"/>
      <c r="AN91" s="1"/>
      <c r="AO91" s="1"/>
      <c r="AP91" s="1"/>
      <c r="AQ91" s="1"/>
      <c r="AX91"/>
      <c r="AY91"/>
      <c r="AZ91"/>
      <c r="BA91"/>
      <c r="BD91" s="1"/>
      <c r="BE91" s="1"/>
      <c r="BN91"/>
      <c r="BO91"/>
    </row>
    <row r="92" spans="1:67" hidden="1" x14ac:dyDescent="0.2">
      <c r="X92" s="117" t="s">
        <v>347</v>
      </c>
      <c r="Y92" t="s">
        <v>346</v>
      </c>
      <c r="Z92" s="338" t="str">
        <f>IF(AND(D$10=2,(SUM(P$85:Q$85))&gt;6),"Too many Explorers; ","")</f>
        <v/>
      </c>
      <c r="AA92" s="116">
        <f t="shared" si="80"/>
        <v>0</v>
      </c>
      <c r="AC92" s="27"/>
      <c r="AG92"/>
      <c r="AI92"/>
      <c r="AJ92"/>
      <c r="AK92"/>
      <c r="AM92"/>
      <c r="AN92" s="1"/>
      <c r="AO92" s="1"/>
      <c r="AP92" s="1"/>
      <c r="AQ92" s="1"/>
      <c r="AX92"/>
      <c r="AY92"/>
      <c r="AZ92"/>
      <c r="BA92"/>
      <c r="BD92" s="1"/>
      <c r="BE92" s="1"/>
      <c r="BN92"/>
      <c r="BO92"/>
    </row>
    <row r="93" spans="1:67" hidden="1" x14ac:dyDescent="0.2">
      <c r="X93" s="117" t="s">
        <v>344</v>
      </c>
      <c r="Y93" t="s">
        <v>348</v>
      </c>
      <c r="Z93" s="338" t="str">
        <f>IF(AND(D$10=3,(O$85+Q$85)&gt;15),"Too many young members; ","")</f>
        <v/>
      </c>
      <c r="AA93" s="116">
        <f t="shared" si="80"/>
        <v>0</v>
      </c>
      <c r="AC93" s="27"/>
      <c r="AG93"/>
      <c r="AI93"/>
      <c r="AJ93"/>
      <c r="AK93"/>
      <c r="AM93"/>
      <c r="AN93" s="1"/>
      <c r="AO93" s="1"/>
      <c r="AP93" s="1"/>
      <c r="AQ93" s="1"/>
      <c r="AX93"/>
      <c r="AY93"/>
      <c r="AZ93"/>
      <c r="BA93"/>
      <c r="BD93" s="1"/>
      <c r="BE93" s="1"/>
      <c r="BN93"/>
      <c r="BO93"/>
    </row>
    <row r="94" spans="1:67" hidden="1" x14ac:dyDescent="0.2">
      <c r="X94" s="117" t="s">
        <v>345</v>
      </c>
      <c r="Y94" t="s">
        <v>348</v>
      </c>
      <c r="Z94" s="338" t="str">
        <f>IF(AND(D$10=3,(Q$85)&gt;8),"Too many Over 14s; ","")</f>
        <v/>
      </c>
      <c r="AA94" s="116">
        <f t="shared" si="80"/>
        <v>0</v>
      </c>
      <c r="AC94" s="27"/>
      <c r="AG94"/>
      <c r="AI94"/>
      <c r="AJ94"/>
      <c r="AK94"/>
      <c r="AM94"/>
      <c r="AN94" s="1"/>
      <c r="AO94" s="1"/>
      <c r="AP94" s="1"/>
      <c r="AQ94" s="1"/>
      <c r="AX94"/>
      <c r="AY94"/>
      <c r="AZ94"/>
      <c r="BA94"/>
      <c r="BD94" s="1"/>
      <c r="BE94" s="1"/>
      <c r="BN94"/>
      <c r="BO94"/>
    </row>
    <row r="95" spans="1:67" hidden="1" x14ac:dyDescent="0.2">
      <c r="X95" s="117" t="s">
        <v>349</v>
      </c>
      <c r="Y95" t="s">
        <v>348</v>
      </c>
      <c r="Z95" s="338" t="str">
        <f>IF(AND(D$10=3,(O$85)&gt;9),"Too many Under 14s; ","")</f>
        <v/>
      </c>
      <c r="AA95" s="116">
        <f t="shared" si="80"/>
        <v>0</v>
      </c>
      <c r="AC95" s="27"/>
      <c r="AG95"/>
      <c r="AI95"/>
      <c r="AJ95"/>
      <c r="AK95"/>
      <c r="AM95"/>
      <c r="AN95" s="1"/>
      <c r="AO95" s="1"/>
      <c r="AP95" s="1"/>
      <c r="AQ95" s="1"/>
      <c r="AX95"/>
      <c r="AY95"/>
      <c r="AZ95"/>
      <c r="BA95"/>
      <c r="BD95" s="1"/>
      <c r="BE95" s="1"/>
      <c r="BN95"/>
      <c r="BO95"/>
    </row>
    <row r="96" spans="1:67" hidden="1" x14ac:dyDescent="0.2">
      <c r="X96" s="117" t="s">
        <v>344</v>
      </c>
      <c r="Y96" t="s">
        <v>350</v>
      </c>
      <c r="Z96" s="338" t="str">
        <f>IF(AND(D$10=4,(P$85+Q$85)&gt;9),"Too many young members; ","")</f>
        <v/>
      </c>
      <c r="AA96" s="116">
        <f t="shared" si="80"/>
        <v>0</v>
      </c>
      <c r="AC96" s="27"/>
      <c r="AG96"/>
      <c r="AI96"/>
      <c r="AJ96"/>
      <c r="AK96"/>
      <c r="AM96"/>
      <c r="AN96" s="1"/>
      <c r="AO96" s="1"/>
      <c r="AP96" s="1"/>
      <c r="AQ96" s="1"/>
      <c r="AX96"/>
      <c r="AY96"/>
      <c r="AZ96"/>
      <c r="BA96"/>
      <c r="BD96" s="1"/>
      <c r="BE96" s="1"/>
      <c r="BN96"/>
      <c r="BO96"/>
    </row>
    <row r="97" spans="1:67" hidden="1" x14ac:dyDescent="0.2">
      <c r="X97" s="117" t="s">
        <v>351</v>
      </c>
      <c r="Y97" t="s">
        <v>350</v>
      </c>
      <c r="Z97" s="338" t="str">
        <f>IF(AND(D$10=4,(O$85-P$85)&gt;0),"Members must be at least 13.5 yrs; ","")</f>
        <v/>
      </c>
      <c r="AA97" s="116">
        <f t="shared" si="80"/>
        <v>0</v>
      </c>
      <c r="AC97" s="27"/>
      <c r="AG97"/>
      <c r="AI97"/>
      <c r="AJ97"/>
      <c r="AK97"/>
      <c r="AM97"/>
      <c r="AN97" s="1"/>
      <c r="AO97" s="1"/>
      <c r="AP97" s="1"/>
      <c r="AQ97" s="1"/>
      <c r="AX97"/>
      <c r="AY97"/>
      <c r="AZ97"/>
      <c r="BA97"/>
      <c r="BD97" s="1"/>
      <c r="BE97" s="1"/>
      <c r="BN97"/>
      <c r="BO97"/>
    </row>
    <row r="98" spans="1:67" hidden="1" x14ac:dyDescent="0.2">
      <c r="X98" s="117" t="s">
        <v>344</v>
      </c>
      <c r="Y98" t="s">
        <v>352</v>
      </c>
      <c r="Z98" s="338" t="str">
        <f>IF(AND(D$10=5,(P$85+Q$85)&gt;3),"Too many young members; ","")</f>
        <v/>
      </c>
      <c r="AA98" s="116">
        <f t="shared" si="80"/>
        <v>0</v>
      </c>
      <c r="AC98" s="27"/>
      <c r="AG98"/>
      <c r="AI98"/>
      <c r="AJ98"/>
      <c r="AK98"/>
      <c r="AM98"/>
      <c r="AN98" s="1"/>
      <c r="AO98" s="1"/>
      <c r="AP98" s="1"/>
      <c r="AQ98" s="1"/>
      <c r="AX98"/>
      <c r="AY98"/>
      <c r="AZ98"/>
      <c r="BA98"/>
      <c r="BD98" s="1"/>
      <c r="BE98" s="1"/>
      <c r="BN98"/>
      <c r="BO98"/>
    </row>
    <row r="99" spans="1:67" hidden="1" x14ac:dyDescent="0.2">
      <c r="X99" s="117" t="s">
        <v>351</v>
      </c>
      <c r="Y99" t="s">
        <v>352</v>
      </c>
      <c r="Z99" s="338" t="str">
        <f>IF(AND(D$10=5,(O$85-P$85)&gt;0),"Members must be at least 13.5 yrs; ","")</f>
        <v/>
      </c>
      <c r="AA99" s="116">
        <f t="shared" si="80"/>
        <v>0</v>
      </c>
      <c r="AC99" s="27"/>
      <c r="AG99"/>
      <c r="AI99"/>
      <c r="AJ99"/>
      <c r="AK99"/>
      <c r="AM99"/>
      <c r="AN99" s="1"/>
      <c r="AO99" s="1"/>
      <c r="AP99" s="1"/>
      <c r="AQ99" s="1"/>
      <c r="AX99"/>
      <c r="AY99"/>
      <c r="AZ99"/>
      <c r="BA99"/>
      <c r="BD99" s="1"/>
      <c r="BE99" s="1"/>
      <c r="BN99"/>
      <c r="BO99"/>
    </row>
    <row r="100" spans="1:67" hidden="1" x14ac:dyDescent="0.2">
      <c r="W100" t="s">
        <v>353</v>
      </c>
      <c r="Z100" s="338"/>
      <c r="AA100" s="116">
        <f t="shared" si="80"/>
        <v>0</v>
      </c>
      <c r="AC100" s="27"/>
      <c r="AG100"/>
      <c r="AI100"/>
      <c r="AJ100"/>
      <c r="AK100"/>
      <c r="AM100"/>
      <c r="AN100" s="1"/>
      <c r="AO100" s="1"/>
      <c r="AP100" s="1"/>
      <c r="AQ100" s="1"/>
      <c r="AX100"/>
      <c r="AY100"/>
      <c r="AZ100"/>
      <c r="BA100"/>
      <c r="BD100" s="1"/>
      <c r="BE100" s="1"/>
      <c r="BN100"/>
      <c r="BO100"/>
    </row>
    <row r="101" spans="1:67" hidden="1" x14ac:dyDescent="0.2">
      <c r="W101" t="s">
        <v>353</v>
      </c>
      <c r="Z101" s="338"/>
      <c r="AA101" s="116">
        <f t="shared" si="80"/>
        <v>0</v>
      </c>
      <c r="AC101" s="27"/>
      <c r="AG101"/>
      <c r="AI101"/>
      <c r="AJ101"/>
      <c r="AK101"/>
      <c r="AM101"/>
      <c r="AN101" s="1"/>
      <c r="AO101" s="1"/>
      <c r="AP101" s="1"/>
      <c r="AQ101" s="1"/>
      <c r="AX101"/>
      <c r="AY101"/>
      <c r="AZ101"/>
      <c r="BA101"/>
      <c r="BD101" s="1"/>
      <c r="BE101" s="1"/>
      <c r="BN101"/>
      <c r="BO101"/>
    </row>
    <row r="102" spans="1:67" hidden="1" x14ac:dyDescent="0.2">
      <c r="W102" t="s">
        <v>353</v>
      </c>
      <c r="Z102" s="339"/>
      <c r="AA102" s="116">
        <f t="shared" si="80"/>
        <v>0</v>
      </c>
      <c r="AC102" s="27"/>
      <c r="AG102"/>
      <c r="AI102"/>
      <c r="AJ102"/>
      <c r="AK102"/>
      <c r="AM102"/>
      <c r="AN102" s="1"/>
      <c r="AO102" s="1"/>
      <c r="AP102" s="1"/>
      <c r="AQ102" s="1"/>
      <c r="AX102"/>
      <c r="AY102"/>
      <c r="AZ102"/>
      <c r="BA102"/>
      <c r="BD102" s="1"/>
      <c r="BE102" s="1"/>
      <c r="BN102"/>
      <c r="BO102"/>
    </row>
    <row r="103" spans="1:67" hidden="1" x14ac:dyDescent="0.2">
      <c r="AC103" s="27"/>
      <c r="AG103"/>
      <c r="AI103"/>
      <c r="AJ103"/>
      <c r="AK103"/>
      <c r="AM103"/>
      <c r="AN103" s="1"/>
      <c r="AO103" s="1"/>
      <c r="AP103" s="1"/>
      <c r="AQ103" s="1"/>
      <c r="AX103"/>
      <c r="AY103"/>
      <c r="AZ103"/>
      <c r="BA103"/>
      <c r="BD103" s="1"/>
      <c r="BE103" s="1"/>
      <c r="BN103"/>
      <c r="BO103"/>
    </row>
    <row r="104" spans="1:67" hidden="1" x14ac:dyDescent="0.2">
      <c r="AC104" s="27"/>
      <c r="AG104"/>
      <c r="AI104"/>
      <c r="AJ104"/>
      <c r="AK104"/>
      <c r="AM104"/>
      <c r="AN104" s="1"/>
      <c r="AO104" s="1"/>
      <c r="AP104" s="1"/>
      <c r="AQ104" s="1"/>
      <c r="AX104"/>
      <c r="AY104"/>
      <c r="AZ104"/>
      <c r="BA104"/>
      <c r="BD104" s="1"/>
      <c r="BE104" s="1"/>
      <c r="BN104"/>
      <c r="BO104"/>
    </row>
    <row r="105" spans="1:67" ht="13.5" hidden="1" thickBot="1" x14ac:dyDescent="0.25">
      <c r="AC105" s="27"/>
      <c r="AG105"/>
      <c r="AI105"/>
      <c r="AJ105"/>
      <c r="AK105"/>
      <c r="AM105"/>
      <c r="AN105" s="1"/>
      <c r="AO105" s="1"/>
      <c r="AP105" s="1"/>
      <c r="AQ105" s="1"/>
      <c r="AX105"/>
      <c r="AY105"/>
      <c r="AZ105"/>
      <c r="BA105"/>
      <c r="BD105" s="1"/>
      <c r="BE105" s="1"/>
      <c r="BN105"/>
      <c r="BO105"/>
    </row>
    <row r="106" spans="1:67" hidden="1" x14ac:dyDescent="0.2">
      <c r="A106" s="262"/>
      <c r="B106" s="35"/>
      <c r="C106" s="35"/>
      <c r="D106" s="35"/>
      <c r="E106" s="35"/>
      <c r="F106" s="35"/>
      <c r="G106" s="35"/>
      <c r="H106" s="35"/>
      <c r="I106" s="35"/>
      <c r="J106" s="35"/>
      <c r="K106" s="35"/>
      <c r="L106" s="35"/>
      <c r="M106" s="35"/>
      <c r="N106" s="35"/>
      <c r="O106" s="35"/>
      <c r="P106" s="35"/>
      <c r="Q106" s="35"/>
      <c r="R106" s="35"/>
      <c r="S106" s="35"/>
      <c r="T106" s="35"/>
      <c r="U106" s="35"/>
      <c r="V106" s="35"/>
      <c r="W106" s="36"/>
      <c r="AC106" s="27"/>
      <c r="AG106"/>
      <c r="AI106"/>
      <c r="AJ106"/>
      <c r="AK106"/>
      <c r="AM106"/>
      <c r="AN106" s="1"/>
      <c r="AO106" s="1"/>
      <c r="AP106" s="1"/>
      <c r="AQ106" s="1"/>
      <c r="AX106"/>
      <c r="AY106"/>
      <c r="AZ106"/>
      <c r="BA106"/>
      <c r="BD106" s="1"/>
      <c r="BE106" s="1"/>
      <c r="BN106"/>
      <c r="BO106"/>
    </row>
    <row r="107" spans="1:67" hidden="1" x14ac:dyDescent="0.2">
      <c r="A107" s="263" t="s">
        <v>401</v>
      </c>
      <c r="B107" s="9"/>
      <c r="C107" s="9"/>
      <c r="D107" s="9"/>
      <c r="E107" s="9"/>
      <c r="F107" s="9"/>
      <c r="G107" s="9"/>
      <c r="H107" s="9"/>
      <c r="I107" s="9"/>
      <c r="J107" s="9"/>
      <c r="K107" s="9"/>
      <c r="L107" s="9"/>
      <c r="M107" s="9"/>
      <c r="N107" s="9"/>
      <c r="O107" s="9"/>
      <c r="P107" s="9"/>
      <c r="Q107" s="9"/>
      <c r="R107" s="9"/>
      <c r="S107" s="9"/>
      <c r="T107" s="9"/>
      <c r="U107" s="9"/>
      <c r="V107" s="9"/>
      <c r="W107" s="37"/>
      <c r="AC107" s="27"/>
      <c r="AG107"/>
      <c r="AI107"/>
      <c r="AJ107"/>
      <c r="AK107"/>
      <c r="AM107"/>
      <c r="AN107" s="1"/>
      <c r="AO107" s="1"/>
      <c r="AP107" s="1"/>
      <c r="AQ107" s="1"/>
      <c r="AX107"/>
      <c r="AY107"/>
      <c r="AZ107"/>
      <c r="BA107"/>
      <c r="BD107" s="1"/>
      <c r="BE107" s="1"/>
      <c r="BN107"/>
      <c r="BO107"/>
    </row>
    <row r="108" spans="1:67" ht="27.75" hidden="1" customHeight="1" x14ac:dyDescent="0.2">
      <c r="A108" s="264"/>
      <c r="B108" s="9" t="s">
        <v>402</v>
      </c>
      <c r="C108" s="9" t="s">
        <v>403</v>
      </c>
      <c r="D108" s="9"/>
      <c r="E108" s="9"/>
      <c r="F108" s="9"/>
      <c r="G108" s="9"/>
      <c r="H108" s="9"/>
      <c r="I108" s="9"/>
      <c r="J108" s="9"/>
      <c r="K108" s="9"/>
      <c r="L108" s="9"/>
      <c r="M108" s="9"/>
      <c r="N108" s="9"/>
      <c r="O108" s="9"/>
      <c r="P108" s="9"/>
      <c r="Q108" s="9"/>
      <c r="R108" s="9"/>
      <c r="S108" s="9"/>
      <c r="T108" s="9"/>
      <c r="U108" s="9"/>
      <c r="V108" s="9"/>
      <c r="W108" s="37"/>
      <c r="AC108" s="27"/>
      <c r="AG108"/>
      <c r="AI108"/>
      <c r="AJ108"/>
      <c r="AK108"/>
      <c r="AM108"/>
      <c r="AN108" s="1"/>
      <c r="AO108" s="1"/>
      <c r="AP108" s="1"/>
      <c r="AQ108" s="1"/>
      <c r="AX108"/>
      <c r="AY108"/>
      <c r="AZ108"/>
      <c r="BA108"/>
      <c r="BD108" s="1"/>
      <c r="BE108" s="1"/>
      <c r="BN108"/>
      <c r="BO108"/>
    </row>
    <row r="109" spans="1:67" hidden="1" x14ac:dyDescent="0.2">
      <c r="A109" s="264"/>
      <c r="B109" s="9"/>
      <c r="C109" s="142" t="s">
        <v>409</v>
      </c>
      <c r="D109" s="9"/>
      <c r="E109" s="9"/>
      <c r="F109" s="9"/>
      <c r="G109" s="9"/>
      <c r="H109" s="9"/>
      <c r="I109" s="9"/>
      <c r="J109" s="9"/>
      <c r="K109" s="9"/>
      <c r="L109" s="9"/>
      <c r="M109" s="9"/>
      <c r="N109" s="9"/>
      <c r="O109" s="9"/>
      <c r="P109" s="9"/>
      <c r="Q109" s="9"/>
      <c r="R109" s="9"/>
      <c r="S109" s="9"/>
      <c r="T109" s="9"/>
      <c r="U109" s="9"/>
      <c r="V109" s="9"/>
      <c r="W109" s="37"/>
      <c r="AC109" s="27"/>
      <c r="AG109"/>
      <c r="AI109"/>
      <c r="AJ109"/>
      <c r="AK109"/>
      <c r="AM109"/>
      <c r="AN109" s="1"/>
      <c r="AO109" s="1"/>
      <c r="AP109" s="1"/>
      <c r="AQ109" s="1"/>
      <c r="AX109"/>
      <c r="AY109"/>
      <c r="AZ109"/>
      <c r="BA109"/>
      <c r="BD109" s="1"/>
      <c r="BE109" s="1"/>
      <c r="BN109"/>
      <c r="BO109"/>
    </row>
    <row r="110" spans="1:67" ht="25.5" hidden="1" x14ac:dyDescent="0.25">
      <c r="A110" s="264"/>
      <c r="B110" s="9"/>
      <c r="C110" s="9"/>
      <c r="D110" s="143" t="s">
        <v>324</v>
      </c>
      <c r="E110" s="143" t="s">
        <v>328</v>
      </c>
      <c r="F110" s="143" t="s">
        <v>404</v>
      </c>
      <c r="G110" s="143" t="s">
        <v>405</v>
      </c>
      <c r="H110" s="143"/>
      <c r="I110" s="143" t="s">
        <v>406</v>
      </c>
      <c r="J110" s="150" t="s">
        <v>410</v>
      </c>
      <c r="K110" s="150" t="s">
        <v>411</v>
      </c>
      <c r="L110" s="150" t="s">
        <v>413</v>
      </c>
      <c r="M110" s="143"/>
      <c r="N110" s="152" t="s">
        <v>410</v>
      </c>
      <c r="O110" s="152" t="s">
        <v>411</v>
      </c>
      <c r="P110" s="152" t="s">
        <v>412</v>
      </c>
      <c r="Q110" s="167" t="s">
        <v>423</v>
      </c>
      <c r="R110" s="168"/>
      <c r="S110" s="168"/>
      <c r="T110" s="9"/>
      <c r="U110" s="9"/>
      <c r="V110" s="9"/>
      <c r="W110" s="37"/>
      <c r="X110" s="9"/>
      <c r="Y110" s="143"/>
      <c r="AC110" s="27"/>
      <c r="AG110"/>
      <c r="AI110"/>
      <c r="AJ110"/>
      <c r="AK110"/>
      <c r="AM110"/>
      <c r="AN110" s="1"/>
      <c r="AO110" s="1"/>
      <c r="AP110" s="1"/>
      <c r="AQ110" s="1"/>
      <c r="AX110"/>
      <c r="AY110"/>
      <c r="AZ110"/>
      <c r="BA110"/>
      <c r="BD110" s="1"/>
      <c r="BE110" s="1"/>
      <c r="BN110"/>
      <c r="BO110"/>
    </row>
    <row r="111" spans="1:67" ht="14.25" hidden="1" thickBot="1" x14ac:dyDescent="0.3">
      <c r="A111" s="264"/>
      <c r="B111" s="9"/>
      <c r="C111" s="9"/>
      <c r="D111" s="9"/>
      <c r="E111" s="9"/>
      <c r="F111" s="143" t="s">
        <v>407</v>
      </c>
      <c r="G111" s="143"/>
      <c r="H111" s="143"/>
      <c r="I111" s="143" t="s">
        <v>408</v>
      </c>
      <c r="J111" s="147"/>
      <c r="K111" s="147"/>
      <c r="L111" s="147"/>
      <c r="M111" s="9"/>
      <c r="N111" s="153"/>
      <c r="O111" s="153"/>
      <c r="P111" s="153"/>
      <c r="Q111" s="168"/>
      <c r="R111" s="168"/>
      <c r="S111" s="168"/>
      <c r="T111" s="9"/>
      <c r="U111" s="9"/>
      <c r="V111" s="9"/>
      <c r="W111" s="37"/>
      <c r="X111" s="9"/>
      <c r="Y111" s="9"/>
      <c r="Z111" s="9"/>
      <c r="AC111" s="27"/>
      <c r="AG111"/>
      <c r="AI111"/>
      <c r="AJ111"/>
      <c r="AK111"/>
      <c r="AM111"/>
      <c r="AN111" s="1"/>
      <c r="AO111" s="1"/>
      <c r="AP111" s="1"/>
      <c r="AQ111" s="1"/>
      <c r="AX111"/>
      <c r="AY111"/>
      <c r="AZ111"/>
      <c r="BA111"/>
      <c r="BD111" s="1"/>
      <c r="BE111" s="1"/>
      <c r="BN111"/>
      <c r="BO111"/>
    </row>
    <row r="112" spans="1:67" ht="13.5" hidden="1" x14ac:dyDescent="0.25">
      <c r="A112" s="264"/>
      <c r="B112" s="136" t="str">
        <f t="shared" ref="B112:B138" si="81">IF(COUNTBLANK(T17)=1,"",B17)</f>
        <v/>
      </c>
      <c r="C112" s="137" t="str">
        <f t="shared" ref="C112:C138" si="82">IF(COUNTBLANK(T17)=1,"",C17)</f>
        <v/>
      </c>
      <c r="D112" s="141" t="str">
        <f t="shared" ref="D112:D138" si="83">IF(COUNTBLANK(T17)=1,"",PROPER(R17))</f>
        <v/>
      </c>
      <c r="E112" s="141" t="str">
        <f t="shared" ref="E112:E138" si="84">IF(COUNTBLANK(T17)=1,"",PROPER(T17))</f>
        <v/>
      </c>
      <c r="F112" s="141">
        <f t="shared" ref="F112:F138" si="85">IF(COUNTBLANK(T17)=0,COUNTIF(E$112:E$138,E112),0)</f>
        <v>0</v>
      </c>
      <c r="G112" s="141" t="str">
        <f t="shared" ref="G112:G138" si="86">IF(AND(COUNTBLANK(B112:C112)=0,D112="Open"),E112,"")</f>
        <v/>
      </c>
      <c r="H112" s="141"/>
      <c r="I112" s="141">
        <f t="shared" ref="I112:I138" si="87">IF(AND(COUNTBLANK(G112)=0,COUNTBLANK(T17)=0),COUNTIF(G$112:G$138,G112),0)</f>
        <v>0</v>
      </c>
      <c r="J112" s="145" t="str">
        <f>IF(F112&gt;3,CONCATENATE("Too many members in ",E112," 3-P Team; "),"")</f>
        <v/>
      </c>
      <c r="K112" s="149" t="b">
        <f>IF(F112&gt;3,TRUE,FALSE)</f>
        <v>0</v>
      </c>
      <c r="L112" s="147" t="str">
        <f t="shared" ref="L112:L138" si="88">IF(K112,J112,"")</f>
        <v/>
      </c>
      <c r="M112" s="9"/>
      <c r="N112" s="153" t="str">
        <f t="shared" ref="N112:N138" si="89">IF(I112&gt;2,CONCATENATE("More than 2 Open shooters in ",G112," 3-P Team; "),"")</f>
        <v/>
      </c>
      <c r="O112" s="154" t="b">
        <f>IF(I112&gt;2,TRUE,FALSE)</f>
        <v>0</v>
      </c>
      <c r="P112" s="153" t="str">
        <f t="shared" ref="P112:P138" si="90">IF(O112,N112,"")</f>
        <v/>
      </c>
      <c r="Q112" s="168" t="str">
        <f t="shared" ref="Q112:Q138" si="91">IF(AND(F112&gt;0,F112&lt;3),CONCATENATE(E112," has too few members; "),"")</f>
        <v/>
      </c>
      <c r="R112" s="168" t="b">
        <f>IF(AND(F112&gt;0,F112&lt;3),TRUE,FALSE)</f>
        <v>0</v>
      </c>
      <c r="S112" s="168" t="str">
        <f t="shared" ref="S112:S138" si="92">IF(R112,Q112,"")</f>
        <v/>
      </c>
      <c r="T112" s="9"/>
      <c r="U112" s="9"/>
      <c r="V112" s="9"/>
      <c r="W112" s="37"/>
      <c r="X112" s="9"/>
      <c r="Y112" s="9"/>
      <c r="AC112" s="27"/>
      <c r="AG112"/>
      <c r="AI112"/>
      <c r="AJ112"/>
      <c r="AK112"/>
      <c r="AM112"/>
      <c r="AN112" s="1"/>
      <c r="AO112" s="1"/>
      <c r="AP112" s="1"/>
      <c r="AQ112" s="1"/>
      <c r="AX112"/>
      <c r="AY112"/>
      <c r="AZ112"/>
      <c r="BA112"/>
      <c r="BD112" s="1"/>
      <c r="BE112" s="1"/>
      <c r="BN112"/>
      <c r="BO112"/>
    </row>
    <row r="113" spans="1:67" ht="13.5" hidden="1" x14ac:dyDescent="0.25">
      <c r="A113" s="264"/>
      <c r="B113" s="138" t="str">
        <f t="shared" si="81"/>
        <v/>
      </c>
      <c r="C113" s="135" t="str">
        <f t="shared" si="82"/>
        <v/>
      </c>
      <c r="D113" s="130" t="str">
        <f t="shared" si="83"/>
        <v/>
      </c>
      <c r="E113" s="130" t="str">
        <f t="shared" si="84"/>
        <v/>
      </c>
      <c r="F113" s="130">
        <f t="shared" si="85"/>
        <v>0</v>
      </c>
      <c r="G113" s="130" t="str">
        <f t="shared" si="86"/>
        <v/>
      </c>
      <c r="H113" s="130"/>
      <c r="I113" s="130">
        <f t="shared" si="87"/>
        <v>0</v>
      </c>
      <c r="J113" s="148" t="str">
        <f>IF(F113&gt;3,CONCATENATE("Too many members in ",E113," 3-P Team; "),"")</f>
        <v/>
      </c>
      <c r="K113" s="147" t="b">
        <f>IF(F113&gt;3,(ISERROR(VLOOKUP(J113,J$112:J112,1,FALSE))),FALSE)</f>
        <v>0</v>
      </c>
      <c r="L113" s="147" t="str">
        <f t="shared" si="88"/>
        <v/>
      </c>
      <c r="M113" s="9"/>
      <c r="N113" s="153" t="str">
        <f t="shared" si="89"/>
        <v/>
      </c>
      <c r="O113" s="153" t="b">
        <f>IF(I113&gt;2,(ISERROR(VLOOKUP(N113,N$112:N112,1,FALSE))),FALSE)</f>
        <v>0</v>
      </c>
      <c r="P113" s="153" t="str">
        <f t="shared" si="90"/>
        <v/>
      </c>
      <c r="Q113" s="168" t="str">
        <f t="shared" si="91"/>
        <v/>
      </c>
      <c r="R113" s="168" t="b">
        <f>IF(AND(F113&gt;0,F113&lt;3),(ISERROR(VLOOKUP(Q113,Q$112:Q112,1,FALSE))),FALSE)</f>
        <v>0</v>
      </c>
      <c r="S113" s="168" t="str">
        <f t="shared" si="92"/>
        <v/>
      </c>
      <c r="T113" s="9"/>
      <c r="U113" s="9"/>
      <c r="V113" s="9"/>
      <c r="W113" s="37"/>
      <c r="X113" s="9"/>
      <c r="Y113" s="9"/>
      <c r="AC113" s="27"/>
      <c r="AG113"/>
      <c r="AI113"/>
      <c r="AJ113"/>
      <c r="AK113"/>
      <c r="AM113"/>
      <c r="AN113" s="1"/>
      <c r="AO113" s="1"/>
      <c r="AP113" s="1"/>
      <c r="AQ113" s="1"/>
      <c r="AX113"/>
      <c r="AY113"/>
      <c r="AZ113"/>
      <c r="BA113"/>
      <c r="BD113" s="1"/>
      <c r="BE113" s="1"/>
      <c r="BN113"/>
      <c r="BO113"/>
    </row>
    <row r="114" spans="1:67" ht="13.5" hidden="1" x14ac:dyDescent="0.25">
      <c r="A114" s="264"/>
      <c r="B114" s="138" t="str">
        <f t="shared" si="81"/>
        <v/>
      </c>
      <c r="C114" s="135" t="str">
        <f t="shared" si="82"/>
        <v/>
      </c>
      <c r="D114" s="130" t="str">
        <f t="shared" si="83"/>
        <v/>
      </c>
      <c r="E114" s="130" t="str">
        <f t="shared" si="84"/>
        <v/>
      </c>
      <c r="F114" s="130">
        <f t="shared" si="85"/>
        <v>0</v>
      </c>
      <c r="G114" s="130" t="str">
        <f t="shared" si="86"/>
        <v/>
      </c>
      <c r="H114" s="130"/>
      <c r="I114" s="130">
        <f t="shared" si="87"/>
        <v>0</v>
      </c>
      <c r="J114" s="148" t="str">
        <f t="shared" ref="J114:J138" si="93">IF(F114&gt;3,CONCATENATE("Too many members in ",E114," 3-P Team; "),"")</f>
        <v/>
      </c>
      <c r="K114" s="147" t="b">
        <f>IF(F114&gt;3,(ISERROR(VLOOKUP(J114,J$112:J113,1,FALSE))),FALSE)</f>
        <v>0</v>
      </c>
      <c r="L114" s="147" t="str">
        <f t="shared" si="88"/>
        <v/>
      </c>
      <c r="M114" s="9"/>
      <c r="N114" s="153" t="str">
        <f t="shared" si="89"/>
        <v/>
      </c>
      <c r="O114" s="153" t="b">
        <f>IF(I114&gt;2,(ISERROR(VLOOKUP(N114,N$112:N113,1,FALSE))),FALSE)</f>
        <v>0</v>
      </c>
      <c r="P114" s="153" t="str">
        <f t="shared" si="90"/>
        <v/>
      </c>
      <c r="Q114" s="168" t="str">
        <f t="shared" si="91"/>
        <v/>
      </c>
      <c r="R114" s="168" t="b">
        <f>IF(AND(F114&gt;0,F114&lt;3),(ISERROR(VLOOKUP(Q114,Q$112:Q113,1,FALSE))),FALSE)</f>
        <v>0</v>
      </c>
      <c r="S114" s="168" t="str">
        <f t="shared" si="92"/>
        <v/>
      </c>
      <c r="T114" s="9"/>
      <c r="U114" s="9"/>
      <c r="V114" s="9"/>
      <c r="W114" s="37"/>
      <c r="X114" s="9"/>
      <c r="Y114" s="9"/>
      <c r="AC114" s="27"/>
      <c r="AG114"/>
      <c r="AI114"/>
      <c r="AJ114"/>
      <c r="AK114"/>
      <c r="AM114"/>
      <c r="AN114" s="1"/>
      <c r="AO114" s="1"/>
      <c r="AP114" s="1"/>
      <c r="AQ114" s="1"/>
      <c r="AX114"/>
      <c r="AY114"/>
      <c r="AZ114"/>
      <c r="BA114"/>
      <c r="BD114" s="1"/>
      <c r="BE114" s="1"/>
      <c r="BN114"/>
      <c r="BO114"/>
    </row>
    <row r="115" spans="1:67" ht="13.5" hidden="1" x14ac:dyDescent="0.25">
      <c r="A115" s="264"/>
      <c r="B115" s="138" t="str">
        <f t="shared" si="81"/>
        <v/>
      </c>
      <c r="C115" s="135" t="str">
        <f t="shared" si="82"/>
        <v/>
      </c>
      <c r="D115" s="130" t="str">
        <f t="shared" si="83"/>
        <v/>
      </c>
      <c r="E115" s="130" t="str">
        <f t="shared" si="84"/>
        <v/>
      </c>
      <c r="F115" s="130">
        <f t="shared" si="85"/>
        <v>0</v>
      </c>
      <c r="G115" s="130" t="str">
        <f t="shared" si="86"/>
        <v/>
      </c>
      <c r="H115" s="130"/>
      <c r="I115" s="130">
        <f t="shared" si="87"/>
        <v>0</v>
      </c>
      <c r="J115" s="148" t="str">
        <f>IF(F115&gt;3,CONCATENATE("Too many members in ",E115," 3-P Team; "),"")</f>
        <v/>
      </c>
      <c r="K115" s="147" t="b">
        <f>IF(F115&gt;3,(ISERROR(VLOOKUP(J115,J$112:J114,1,FALSE))),FALSE)</f>
        <v>0</v>
      </c>
      <c r="L115" s="147" t="str">
        <f t="shared" si="88"/>
        <v/>
      </c>
      <c r="M115" s="9"/>
      <c r="N115" s="153" t="str">
        <f t="shared" si="89"/>
        <v/>
      </c>
      <c r="O115" s="153" t="b">
        <f>IF(I115&gt;2,(ISERROR(VLOOKUP(N115,N$112:N114,1,FALSE))),FALSE)</f>
        <v>0</v>
      </c>
      <c r="P115" s="153" t="str">
        <f t="shared" si="90"/>
        <v/>
      </c>
      <c r="Q115" s="168" t="str">
        <f t="shared" si="91"/>
        <v/>
      </c>
      <c r="R115" s="168" t="b">
        <f>IF(AND(F115&gt;0,F115&lt;3),(ISERROR(VLOOKUP(Q115,Q$112:Q114,1,FALSE))),FALSE)</f>
        <v>0</v>
      </c>
      <c r="S115" s="168" t="str">
        <f t="shared" si="92"/>
        <v/>
      </c>
      <c r="T115" s="9"/>
      <c r="U115" s="9"/>
      <c r="V115" s="9"/>
      <c r="W115" s="37"/>
      <c r="X115" s="9"/>
      <c r="Y115" s="9"/>
      <c r="AC115" s="27"/>
      <c r="AG115"/>
      <c r="AI115"/>
      <c r="AJ115"/>
      <c r="AK115"/>
      <c r="AM115"/>
      <c r="AN115" s="1"/>
      <c r="AO115" s="1"/>
      <c r="AP115" s="1"/>
      <c r="AQ115" s="1"/>
      <c r="AX115"/>
      <c r="AY115"/>
      <c r="AZ115"/>
      <c r="BA115"/>
      <c r="BD115" s="1"/>
      <c r="BE115" s="1"/>
      <c r="BN115"/>
      <c r="BO115"/>
    </row>
    <row r="116" spans="1:67" ht="13.5" hidden="1" x14ac:dyDescent="0.25">
      <c r="A116" s="264"/>
      <c r="B116" s="138" t="str">
        <f t="shared" si="81"/>
        <v/>
      </c>
      <c r="C116" s="135" t="str">
        <f t="shared" si="82"/>
        <v/>
      </c>
      <c r="D116" s="130" t="str">
        <f t="shared" si="83"/>
        <v/>
      </c>
      <c r="E116" s="130" t="str">
        <f t="shared" si="84"/>
        <v/>
      </c>
      <c r="F116" s="130">
        <f t="shared" si="85"/>
        <v>0</v>
      </c>
      <c r="G116" s="130" t="str">
        <f t="shared" si="86"/>
        <v/>
      </c>
      <c r="H116" s="130"/>
      <c r="I116" s="130">
        <f t="shared" si="87"/>
        <v>0</v>
      </c>
      <c r="J116" s="148" t="str">
        <f t="shared" si="93"/>
        <v/>
      </c>
      <c r="K116" s="147" t="b">
        <f>IF(F116&gt;3,(ISERROR(VLOOKUP(J116,J$112:J115,1,FALSE))),FALSE)</f>
        <v>0</v>
      </c>
      <c r="L116" s="147" t="str">
        <f t="shared" si="88"/>
        <v/>
      </c>
      <c r="M116" s="9"/>
      <c r="N116" s="153" t="str">
        <f t="shared" si="89"/>
        <v/>
      </c>
      <c r="O116" s="153" t="b">
        <f>IF(I116&gt;2,(ISERROR(VLOOKUP(N116,N$112:N115,1,FALSE))),FALSE)</f>
        <v>0</v>
      </c>
      <c r="P116" s="153" t="str">
        <f t="shared" si="90"/>
        <v/>
      </c>
      <c r="Q116" s="168" t="str">
        <f t="shared" si="91"/>
        <v/>
      </c>
      <c r="R116" s="168" t="b">
        <f>IF(AND(F116&gt;0,F116&lt;3),(ISERROR(VLOOKUP(Q116,Q$112:Q115,1,FALSE))),FALSE)</f>
        <v>0</v>
      </c>
      <c r="S116" s="168" t="str">
        <f t="shared" si="92"/>
        <v/>
      </c>
      <c r="T116" s="9"/>
      <c r="U116" s="9"/>
      <c r="V116" s="9"/>
      <c r="W116" s="37"/>
      <c r="X116" s="9"/>
      <c r="Y116" s="9"/>
      <c r="AC116" s="27"/>
      <c r="AG116"/>
      <c r="AI116"/>
      <c r="AJ116"/>
      <c r="AK116"/>
      <c r="AM116"/>
      <c r="AN116" s="1"/>
      <c r="AO116" s="1"/>
      <c r="AP116" s="1"/>
      <c r="AQ116" s="1"/>
      <c r="AX116"/>
      <c r="AY116"/>
      <c r="AZ116"/>
      <c r="BA116"/>
      <c r="BD116" s="1"/>
      <c r="BE116" s="1"/>
      <c r="BN116"/>
      <c r="BO116"/>
    </row>
    <row r="117" spans="1:67" ht="13.5" hidden="1" x14ac:dyDescent="0.25">
      <c r="A117" s="264"/>
      <c r="B117" s="138" t="str">
        <f t="shared" si="81"/>
        <v/>
      </c>
      <c r="C117" s="135" t="str">
        <f t="shared" si="82"/>
        <v/>
      </c>
      <c r="D117" s="130" t="str">
        <f t="shared" si="83"/>
        <v/>
      </c>
      <c r="E117" s="130" t="str">
        <f t="shared" si="84"/>
        <v/>
      </c>
      <c r="F117" s="130">
        <f t="shared" si="85"/>
        <v>0</v>
      </c>
      <c r="G117" s="130" t="str">
        <f t="shared" si="86"/>
        <v/>
      </c>
      <c r="H117" s="130"/>
      <c r="I117" s="130">
        <f t="shared" si="87"/>
        <v>0</v>
      </c>
      <c r="J117" s="148" t="str">
        <f t="shared" si="93"/>
        <v/>
      </c>
      <c r="K117" s="147" t="b">
        <f>IF(F117&gt;3,(ISERROR(VLOOKUP(J117,J$112:J116,1,FALSE))),FALSE)</f>
        <v>0</v>
      </c>
      <c r="L117" s="147" t="str">
        <f t="shared" si="88"/>
        <v/>
      </c>
      <c r="M117" s="9"/>
      <c r="N117" s="153" t="str">
        <f t="shared" si="89"/>
        <v/>
      </c>
      <c r="O117" s="153" t="b">
        <f>IF(I117&gt;2,(ISERROR(VLOOKUP(N117,N$112:N116,1,FALSE))),FALSE)</f>
        <v>0</v>
      </c>
      <c r="P117" s="153" t="str">
        <f t="shared" si="90"/>
        <v/>
      </c>
      <c r="Q117" s="168" t="str">
        <f t="shared" si="91"/>
        <v/>
      </c>
      <c r="R117" s="168" t="b">
        <f>IF(AND(F117&gt;0,F117&lt;3),(ISERROR(VLOOKUP(Q117,Q$112:Q116,1,FALSE))),FALSE)</f>
        <v>0</v>
      </c>
      <c r="S117" s="168" t="str">
        <f t="shared" si="92"/>
        <v/>
      </c>
      <c r="T117" s="9"/>
      <c r="U117" s="9"/>
      <c r="V117" s="9"/>
      <c r="W117" s="37"/>
      <c r="X117" s="9"/>
      <c r="Y117" s="9"/>
      <c r="AC117" s="27"/>
      <c r="AG117"/>
      <c r="AI117"/>
      <c r="AJ117"/>
      <c r="AK117"/>
      <c r="AM117"/>
      <c r="AN117" s="1"/>
      <c r="AO117" s="1"/>
      <c r="AP117" s="1"/>
      <c r="AQ117" s="1"/>
      <c r="AX117"/>
      <c r="AY117"/>
      <c r="AZ117"/>
      <c r="BA117"/>
      <c r="BD117" s="1"/>
      <c r="BE117" s="1"/>
      <c r="BN117"/>
      <c r="BO117"/>
    </row>
    <row r="118" spans="1:67" ht="13.5" hidden="1" x14ac:dyDescent="0.25">
      <c r="A118" s="264"/>
      <c r="B118" s="138" t="str">
        <f t="shared" si="81"/>
        <v/>
      </c>
      <c r="C118" s="135" t="str">
        <f t="shared" si="82"/>
        <v/>
      </c>
      <c r="D118" s="130" t="str">
        <f t="shared" si="83"/>
        <v/>
      </c>
      <c r="E118" s="130" t="str">
        <f t="shared" si="84"/>
        <v/>
      </c>
      <c r="F118" s="130">
        <f t="shared" si="85"/>
        <v>0</v>
      </c>
      <c r="G118" s="130" t="str">
        <f t="shared" si="86"/>
        <v/>
      </c>
      <c r="H118" s="130"/>
      <c r="I118" s="130">
        <f t="shared" si="87"/>
        <v>0</v>
      </c>
      <c r="J118" s="148" t="str">
        <f t="shared" si="93"/>
        <v/>
      </c>
      <c r="K118" s="147" t="b">
        <f>IF(F118&gt;3,(ISERROR(VLOOKUP(J118,J$112:J117,1,FALSE))),FALSE)</f>
        <v>0</v>
      </c>
      <c r="L118" s="147" t="str">
        <f t="shared" si="88"/>
        <v/>
      </c>
      <c r="M118" s="9"/>
      <c r="N118" s="153" t="str">
        <f t="shared" si="89"/>
        <v/>
      </c>
      <c r="O118" s="153" t="b">
        <f>IF(I118&gt;2,(ISERROR(VLOOKUP(N118,N$112:N117,1,FALSE))),FALSE)</f>
        <v>0</v>
      </c>
      <c r="P118" s="153" t="str">
        <f t="shared" si="90"/>
        <v/>
      </c>
      <c r="Q118" s="168" t="str">
        <f t="shared" si="91"/>
        <v/>
      </c>
      <c r="R118" s="168" t="b">
        <f>IF(AND(F118&gt;0,F118&lt;3),(ISERROR(VLOOKUP(Q118,Q$112:Q117,1,FALSE))),FALSE)</f>
        <v>0</v>
      </c>
      <c r="S118" s="168" t="str">
        <f t="shared" si="92"/>
        <v/>
      </c>
      <c r="T118" s="9"/>
      <c r="U118" s="9"/>
      <c r="V118" s="9"/>
      <c r="W118" s="37"/>
      <c r="X118" s="9"/>
      <c r="Y118" s="9"/>
      <c r="AC118" s="27"/>
      <c r="AG118"/>
      <c r="AI118"/>
      <c r="AJ118"/>
      <c r="AK118"/>
      <c r="AM118"/>
      <c r="AN118" s="1"/>
      <c r="AO118" s="1"/>
      <c r="AP118" s="1"/>
      <c r="AQ118" s="1"/>
      <c r="AX118"/>
      <c r="AY118"/>
      <c r="AZ118"/>
      <c r="BA118"/>
      <c r="BD118" s="1"/>
      <c r="BE118" s="1"/>
      <c r="BN118"/>
      <c r="BO118"/>
    </row>
    <row r="119" spans="1:67" ht="13.5" hidden="1" x14ac:dyDescent="0.25">
      <c r="A119" s="264"/>
      <c r="B119" s="138" t="str">
        <f t="shared" si="81"/>
        <v/>
      </c>
      <c r="C119" s="135" t="str">
        <f t="shared" si="82"/>
        <v/>
      </c>
      <c r="D119" s="130" t="str">
        <f t="shared" si="83"/>
        <v/>
      </c>
      <c r="E119" s="130" t="str">
        <f t="shared" si="84"/>
        <v/>
      </c>
      <c r="F119" s="130">
        <f t="shared" si="85"/>
        <v>0</v>
      </c>
      <c r="G119" s="130" t="str">
        <f t="shared" si="86"/>
        <v/>
      </c>
      <c r="H119" s="130"/>
      <c r="I119" s="130">
        <f t="shared" si="87"/>
        <v>0</v>
      </c>
      <c r="J119" s="148" t="str">
        <f t="shared" si="93"/>
        <v/>
      </c>
      <c r="K119" s="147" t="b">
        <f>IF(F119&gt;3,(ISERROR(VLOOKUP(J119,J$112:J118,1,FALSE))),FALSE)</f>
        <v>0</v>
      </c>
      <c r="L119" s="147" t="str">
        <f t="shared" si="88"/>
        <v/>
      </c>
      <c r="M119" s="9"/>
      <c r="N119" s="153" t="str">
        <f t="shared" si="89"/>
        <v/>
      </c>
      <c r="O119" s="153" t="b">
        <f>IF(I119&gt;2,(ISERROR(VLOOKUP(N119,N$112:N118,1,FALSE))),FALSE)</f>
        <v>0</v>
      </c>
      <c r="P119" s="153" t="str">
        <f t="shared" si="90"/>
        <v/>
      </c>
      <c r="Q119" s="168" t="str">
        <f t="shared" si="91"/>
        <v/>
      </c>
      <c r="R119" s="168" t="b">
        <f>IF(AND(F119&gt;0,F119&lt;3),(ISERROR(VLOOKUP(Q119,Q$112:Q118,1,FALSE))),FALSE)</f>
        <v>0</v>
      </c>
      <c r="S119" s="168" t="str">
        <f t="shared" si="92"/>
        <v/>
      </c>
      <c r="T119" s="9"/>
      <c r="U119" s="9"/>
      <c r="V119" s="9"/>
      <c r="W119" s="37"/>
      <c r="X119" s="9"/>
      <c r="Y119" s="9"/>
      <c r="AC119" s="27"/>
      <c r="AG119"/>
      <c r="AI119"/>
      <c r="AJ119"/>
      <c r="AK119"/>
      <c r="AM119"/>
      <c r="AN119" s="1"/>
      <c r="AO119" s="1"/>
      <c r="AP119" s="1"/>
      <c r="AQ119" s="1"/>
      <c r="AX119"/>
      <c r="AY119"/>
      <c r="AZ119"/>
      <c r="BA119"/>
      <c r="BD119" s="1"/>
      <c r="BE119" s="1"/>
      <c r="BN119"/>
      <c r="BO119"/>
    </row>
    <row r="120" spans="1:67" ht="13.5" hidden="1" x14ac:dyDescent="0.25">
      <c r="A120" s="264"/>
      <c r="B120" s="138" t="str">
        <f t="shared" si="81"/>
        <v/>
      </c>
      <c r="C120" s="135" t="str">
        <f t="shared" si="82"/>
        <v/>
      </c>
      <c r="D120" s="130" t="str">
        <f t="shared" si="83"/>
        <v/>
      </c>
      <c r="E120" s="130" t="str">
        <f t="shared" si="84"/>
        <v/>
      </c>
      <c r="F120" s="130">
        <f t="shared" si="85"/>
        <v>0</v>
      </c>
      <c r="G120" s="130" t="str">
        <f t="shared" si="86"/>
        <v/>
      </c>
      <c r="H120" s="130"/>
      <c r="I120" s="130">
        <f t="shared" si="87"/>
        <v>0</v>
      </c>
      <c r="J120" s="148" t="str">
        <f t="shared" si="93"/>
        <v/>
      </c>
      <c r="K120" s="147" t="b">
        <f>IF(F120&gt;3,(ISERROR(VLOOKUP(J120,J$112:J119,1,FALSE))),FALSE)</f>
        <v>0</v>
      </c>
      <c r="L120" s="147" t="str">
        <f t="shared" si="88"/>
        <v/>
      </c>
      <c r="M120" s="9"/>
      <c r="N120" s="153" t="str">
        <f t="shared" si="89"/>
        <v/>
      </c>
      <c r="O120" s="153" t="b">
        <f>IF(I120&gt;2,(ISERROR(VLOOKUP(N120,N$112:N119,1,FALSE))),FALSE)</f>
        <v>0</v>
      </c>
      <c r="P120" s="153" t="str">
        <f t="shared" si="90"/>
        <v/>
      </c>
      <c r="Q120" s="168" t="str">
        <f t="shared" si="91"/>
        <v/>
      </c>
      <c r="R120" s="168" t="b">
        <f>IF(AND(F120&gt;0,F120&lt;3),(ISERROR(VLOOKUP(Q120,Q$112:Q119,1,FALSE))),FALSE)</f>
        <v>0</v>
      </c>
      <c r="S120" s="168" t="str">
        <f t="shared" si="92"/>
        <v/>
      </c>
      <c r="T120" s="9"/>
      <c r="U120" s="9"/>
      <c r="V120" s="9"/>
      <c r="W120" s="37"/>
      <c r="X120" s="9"/>
      <c r="Y120" s="9"/>
      <c r="AC120" s="27"/>
      <c r="AG120"/>
      <c r="AI120"/>
      <c r="AJ120"/>
      <c r="AK120"/>
      <c r="AM120"/>
      <c r="AN120" s="1"/>
      <c r="AO120" s="1"/>
      <c r="AP120" s="1"/>
      <c r="AQ120" s="1"/>
      <c r="AX120"/>
      <c r="AY120"/>
      <c r="AZ120"/>
      <c r="BA120"/>
      <c r="BD120" s="1"/>
      <c r="BE120" s="1"/>
      <c r="BN120"/>
      <c r="BO120"/>
    </row>
    <row r="121" spans="1:67" ht="13.5" hidden="1" x14ac:dyDescent="0.25">
      <c r="A121" s="264"/>
      <c r="B121" s="138" t="str">
        <f t="shared" si="81"/>
        <v/>
      </c>
      <c r="C121" s="135" t="str">
        <f t="shared" si="82"/>
        <v/>
      </c>
      <c r="D121" s="130" t="str">
        <f t="shared" si="83"/>
        <v/>
      </c>
      <c r="E121" s="130" t="str">
        <f t="shared" si="84"/>
        <v/>
      </c>
      <c r="F121" s="130">
        <f t="shared" si="85"/>
        <v>0</v>
      </c>
      <c r="G121" s="130" t="str">
        <f t="shared" si="86"/>
        <v/>
      </c>
      <c r="H121" s="130"/>
      <c r="I121" s="130">
        <f t="shared" si="87"/>
        <v>0</v>
      </c>
      <c r="J121" s="148" t="str">
        <f t="shared" si="93"/>
        <v/>
      </c>
      <c r="K121" s="147" t="b">
        <f>IF(F121&gt;3,(ISERROR(VLOOKUP(J121,J$112:J120,1,FALSE))),FALSE)</f>
        <v>0</v>
      </c>
      <c r="L121" s="147" t="str">
        <f t="shared" si="88"/>
        <v/>
      </c>
      <c r="M121" s="9"/>
      <c r="N121" s="153" t="str">
        <f t="shared" si="89"/>
        <v/>
      </c>
      <c r="O121" s="153" t="b">
        <f>IF(I121&gt;2,(ISERROR(VLOOKUP(N121,N$112:N120,1,FALSE))),FALSE)</f>
        <v>0</v>
      </c>
      <c r="P121" s="153" t="str">
        <f t="shared" si="90"/>
        <v/>
      </c>
      <c r="Q121" s="168" t="str">
        <f t="shared" si="91"/>
        <v/>
      </c>
      <c r="R121" s="168" t="b">
        <f>IF(AND(F121&gt;0,F121&lt;3),(ISERROR(VLOOKUP(Q121,Q$112:Q120,1,FALSE))),FALSE)</f>
        <v>0</v>
      </c>
      <c r="S121" s="168" t="str">
        <f t="shared" si="92"/>
        <v/>
      </c>
      <c r="T121" s="9"/>
      <c r="U121" s="9"/>
      <c r="V121" s="9"/>
      <c r="W121" s="37"/>
      <c r="X121" s="9"/>
      <c r="Y121" s="9"/>
      <c r="AC121" s="27"/>
      <c r="AG121"/>
      <c r="AI121"/>
      <c r="AJ121"/>
      <c r="AK121"/>
      <c r="AM121"/>
      <c r="AN121" s="1"/>
      <c r="AO121" s="1"/>
      <c r="AP121" s="1"/>
      <c r="AQ121" s="1"/>
      <c r="AX121"/>
      <c r="AY121"/>
      <c r="AZ121"/>
      <c r="BA121"/>
      <c r="BD121" s="1"/>
      <c r="BE121" s="1"/>
      <c r="BN121"/>
      <c r="BO121"/>
    </row>
    <row r="122" spans="1:67" ht="13.5" hidden="1" x14ac:dyDescent="0.25">
      <c r="A122" s="264"/>
      <c r="B122" s="138" t="str">
        <f t="shared" si="81"/>
        <v/>
      </c>
      <c r="C122" s="135" t="str">
        <f t="shared" si="82"/>
        <v/>
      </c>
      <c r="D122" s="130" t="str">
        <f t="shared" si="83"/>
        <v/>
      </c>
      <c r="E122" s="130" t="str">
        <f t="shared" si="84"/>
        <v/>
      </c>
      <c r="F122" s="130">
        <f t="shared" si="85"/>
        <v>0</v>
      </c>
      <c r="G122" s="130" t="str">
        <f t="shared" si="86"/>
        <v/>
      </c>
      <c r="H122" s="130"/>
      <c r="I122" s="130">
        <f t="shared" si="87"/>
        <v>0</v>
      </c>
      <c r="J122" s="148" t="str">
        <f t="shared" si="93"/>
        <v/>
      </c>
      <c r="K122" s="147" t="b">
        <f>IF(F122&gt;3,(ISERROR(VLOOKUP(J122,J$112:J121,1,FALSE))),FALSE)</f>
        <v>0</v>
      </c>
      <c r="L122" s="147" t="str">
        <f t="shared" si="88"/>
        <v/>
      </c>
      <c r="M122" s="9"/>
      <c r="N122" s="153" t="str">
        <f t="shared" si="89"/>
        <v/>
      </c>
      <c r="O122" s="153" t="b">
        <f>IF(I122&gt;2,(ISERROR(VLOOKUP(N122,N$112:N121,1,FALSE))),FALSE)</f>
        <v>0</v>
      </c>
      <c r="P122" s="153" t="str">
        <f t="shared" si="90"/>
        <v/>
      </c>
      <c r="Q122" s="168" t="str">
        <f t="shared" si="91"/>
        <v/>
      </c>
      <c r="R122" s="168" t="b">
        <f>IF(AND(F122&gt;0,F122&lt;3),(ISERROR(VLOOKUP(Q122,Q$112:Q121,1,FALSE))),FALSE)</f>
        <v>0</v>
      </c>
      <c r="S122" s="168" t="str">
        <f t="shared" si="92"/>
        <v/>
      </c>
      <c r="T122" s="9"/>
      <c r="U122" s="9"/>
      <c r="V122" s="9"/>
      <c r="W122" s="37"/>
      <c r="X122" s="9"/>
      <c r="Y122" s="9"/>
      <c r="AC122" s="27"/>
      <c r="AG122"/>
      <c r="AI122"/>
      <c r="AJ122"/>
      <c r="AK122"/>
      <c r="AM122"/>
      <c r="AN122" s="1"/>
      <c r="AO122" s="1"/>
      <c r="AP122" s="1"/>
      <c r="AQ122" s="1"/>
      <c r="AX122"/>
      <c r="AY122"/>
      <c r="AZ122"/>
      <c r="BA122"/>
      <c r="BD122" s="1"/>
      <c r="BE122" s="1"/>
      <c r="BN122"/>
      <c r="BO122"/>
    </row>
    <row r="123" spans="1:67" ht="13.5" hidden="1" x14ac:dyDescent="0.25">
      <c r="A123" s="264"/>
      <c r="B123" s="138" t="str">
        <f t="shared" si="81"/>
        <v/>
      </c>
      <c r="C123" s="135" t="str">
        <f t="shared" si="82"/>
        <v/>
      </c>
      <c r="D123" s="130" t="str">
        <f t="shared" si="83"/>
        <v/>
      </c>
      <c r="E123" s="130" t="str">
        <f t="shared" si="84"/>
        <v/>
      </c>
      <c r="F123" s="130">
        <f t="shared" si="85"/>
        <v>0</v>
      </c>
      <c r="G123" s="130" t="str">
        <f t="shared" si="86"/>
        <v/>
      </c>
      <c r="H123" s="130"/>
      <c r="I123" s="130">
        <f t="shared" si="87"/>
        <v>0</v>
      </c>
      <c r="J123" s="148" t="str">
        <f t="shared" si="93"/>
        <v/>
      </c>
      <c r="K123" s="147" t="b">
        <f>IF(F123&gt;3,(ISERROR(VLOOKUP(J123,J$112:J122,1,FALSE))),FALSE)</f>
        <v>0</v>
      </c>
      <c r="L123" s="147" t="str">
        <f t="shared" si="88"/>
        <v/>
      </c>
      <c r="M123" s="9"/>
      <c r="N123" s="153" t="str">
        <f t="shared" si="89"/>
        <v/>
      </c>
      <c r="O123" s="153" t="b">
        <f>IF(I123&gt;2,(ISERROR(VLOOKUP(N123,N$112:N122,1,FALSE))),FALSE)</f>
        <v>0</v>
      </c>
      <c r="P123" s="153" t="str">
        <f t="shared" si="90"/>
        <v/>
      </c>
      <c r="Q123" s="168" t="str">
        <f t="shared" si="91"/>
        <v/>
      </c>
      <c r="R123" s="168" t="b">
        <f>IF(AND(F123&gt;0,F123&lt;3),(ISERROR(VLOOKUP(Q123,Q$112:Q122,1,FALSE))),FALSE)</f>
        <v>0</v>
      </c>
      <c r="S123" s="168" t="str">
        <f t="shared" si="92"/>
        <v/>
      </c>
      <c r="T123" s="9"/>
      <c r="U123" s="9"/>
      <c r="V123" s="9"/>
      <c r="W123" s="37"/>
      <c r="X123" s="9"/>
      <c r="Y123" s="9"/>
      <c r="AC123" s="27"/>
      <c r="AG123"/>
      <c r="AI123"/>
      <c r="AJ123"/>
      <c r="AK123"/>
      <c r="AM123"/>
      <c r="AN123" s="1"/>
      <c r="AO123" s="1"/>
      <c r="AP123" s="1"/>
      <c r="AQ123" s="1"/>
      <c r="AX123"/>
      <c r="AY123"/>
      <c r="AZ123"/>
      <c r="BA123"/>
      <c r="BD123" s="1"/>
      <c r="BE123" s="1"/>
      <c r="BN123"/>
      <c r="BO123"/>
    </row>
    <row r="124" spans="1:67" ht="13.5" hidden="1" x14ac:dyDescent="0.25">
      <c r="A124" s="264"/>
      <c r="B124" s="138" t="str">
        <f t="shared" si="81"/>
        <v/>
      </c>
      <c r="C124" s="135" t="str">
        <f t="shared" si="82"/>
        <v/>
      </c>
      <c r="D124" s="130" t="str">
        <f t="shared" si="83"/>
        <v/>
      </c>
      <c r="E124" s="130" t="str">
        <f t="shared" si="84"/>
        <v/>
      </c>
      <c r="F124" s="130">
        <f t="shared" si="85"/>
        <v>0</v>
      </c>
      <c r="G124" s="130" t="str">
        <f t="shared" si="86"/>
        <v/>
      </c>
      <c r="H124" s="130"/>
      <c r="I124" s="130">
        <f t="shared" si="87"/>
        <v>0</v>
      </c>
      <c r="J124" s="148" t="str">
        <f t="shared" si="93"/>
        <v/>
      </c>
      <c r="K124" s="147" t="b">
        <f>IF(F124&gt;3,(ISERROR(VLOOKUP(J124,J$112:J123,1,FALSE))),FALSE)</f>
        <v>0</v>
      </c>
      <c r="L124" s="147" t="str">
        <f t="shared" si="88"/>
        <v/>
      </c>
      <c r="M124" s="9"/>
      <c r="N124" s="153" t="str">
        <f t="shared" si="89"/>
        <v/>
      </c>
      <c r="O124" s="153" t="b">
        <f>IF(I124&gt;2,(ISERROR(VLOOKUP(N124,N$112:N123,1,FALSE))),FALSE)</f>
        <v>0</v>
      </c>
      <c r="P124" s="153" t="str">
        <f t="shared" si="90"/>
        <v/>
      </c>
      <c r="Q124" s="168" t="str">
        <f t="shared" si="91"/>
        <v/>
      </c>
      <c r="R124" s="168" t="b">
        <f>IF(AND(F124&gt;0,F124&lt;3),(ISERROR(VLOOKUP(Q124,Q$112:Q123,1,FALSE))),FALSE)</f>
        <v>0</v>
      </c>
      <c r="S124" s="168" t="str">
        <f t="shared" si="92"/>
        <v/>
      </c>
      <c r="T124" s="9"/>
      <c r="U124" s="9"/>
      <c r="V124" s="9"/>
      <c r="W124" s="37"/>
      <c r="X124" s="9"/>
      <c r="Y124" s="9"/>
      <c r="AC124" s="27"/>
      <c r="AG124"/>
      <c r="AI124"/>
      <c r="AJ124"/>
      <c r="AK124"/>
      <c r="AM124"/>
      <c r="AN124" s="1"/>
      <c r="AO124" s="1"/>
      <c r="AP124" s="1"/>
      <c r="AQ124" s="1"/>
      <c r="AX124"/>
      <c r="AY124"/>
      <c r="AZ124"/>
      <c r="BA124"/>
      <c r="BD124" s="1"/>
      <c r="BE124" s="1"/>
      <c r="BN124"/>
      <c r="BO124"/>
    </row>
    <row r="125" spans="1:67" ht="13.5" hidden="1" x14ac:dyDescent="0.25">
      <c r="A125" s="264"/>
      <c r="B125" s="138" t="str">
        <f t="shared" si="81"/>
        <v/>
      </c>
      <c r="C125" s="135" t="str">
        <f t="shared" si="82"/>
        <v/>
      </c>
      <c r="D125" s="130" t="str">
        <f t="shared" si="83"/>
        <v/>
      </c>
      <c r="E125" s="130" t="str">
        <f t="shared" si="84"/>
        <v/>
      </c>
      <c r="F125" s="130">
        <f t="shared" si="85"/>
        <v>0</v>
      </c>
      <c r="G125" s="130" t="str">
        <f t="shared" si="86"/>
        <v/>
      </c>
      <c r="H125" s="130"/>
      <c r="I125" s="130">
        <f t="shared" si="87"/>
        <v>0</v>
      </c>
      <c r="J125" s="148" t="str">
        <f t="shared" si="93"/>
        <v/>
      </c>
      <c r="K125" s="147" t="b">
        <f>IF(F125&gt;3,(ISERROR(VLOOKUP(J125,J$112:J124,1,FALSE))),FALSE)</f>
        <v>0</v>
      </c>
      <c r="L125" s="147" t="str">
        <f t="shared" si="88"/>
        <v/>
      </c>
      <c r="M125" s="9"/>
      <c r="N125" s="153" t="str">
        <f t="shared" si="89"/>
        <v/>
      </c>
      <c r="O125" s="153" t="b">
        <f>IF(I125&gt;2,(ISERROR(VLOOKUP(N125,N$112:N124,1,FALSE))),FALSE)</f>
        <v>0</v>
      </c>
      <c r="P125" s="153" t="str">
        <f t="shared" si="90"/>
        <v/>
      </c>
      <c r="Q125" s="168" t="str">
        <f t="shared" si="91"/>
        <v/>
      </c>
      <c r="R125" s="168" t="b">
        <f>IF(AND(F125&gt;0,F125&lt;3),(ISERROR(VLOOKUP(Q125,Q$112:Q124,1,FALSE))),FALSE)</f>
        <v>0</v>
      </c>
      <c r="S125" s="168" t="str">
        <f t="shared" si="92"/>
        <v/>
      </c>
      <c r="T125" s="9"/>
      <c r="U125" s="9"/>
      <c r="V125" s="9"/>
      <c r="W125" s="37"/>
      <c r="X125" s="9"/>
      <c r="Y125" s="9"/>
      <c r="AC125" s="27"/>
      <c r="AG125"/>
      <c r="AI125"/>
      <c r="AJ125"/>
      <c r="AK125"/>
      <c r="AM125"/>
      <c r="AN125" s="1"/>
      <c r="AO125" s="1"/>
      <c r="AP125" s="1"/>
      <c r="AQ125" s="1"/>
      <c r="AX125"/>
      <c r="AY125"/>
      <c r="AZ125"/>
      <c r="BA125"/>
      <c r="BD125" s="1"/>
      <c r="BE125" s="1"/>
      <c r="BN125"/>
      <c r="BO125"/>
    </row>
    <row r="126" spans="1:67" ht="13.5" hidden="1" x14ac:dyDescent="0.25">
      <c r="A126" s="264"/>
      <c r="B126" s="138" t="str">
        <f t="shared" si="81"/>
        <v/>
      </c>
      <c r="C126" s="135" t="str">
        <f t="shared" si="82"/>
        <v/>
      </c>
      <c r="D126" s="130" t="str">
        <f t="shared" si="83"/>
        <v/>
      </c>
      <c r="E126" s="130" t="str">
        <f t="shared" si="84"/>
        <v/>
      </c>
      <c r="F126" s="130">
        <f t="shared" si="85"/>
        <v>0</v>
      </c>
      <c r="G126" s="130" t="str">
        <f t="shared" si="86"/>
        <v/>
      </c>
      <c r="H126" s="130"/>
      <c r="I126" s="130">
        <f t="shared" si="87"/>
        <v>0</v>
      </c>
      <c r="J126" s="148" t="str">
        <f t="shared" si="93"/>
        <v/>
      </c>
      <c r="K126" s="147" t="b">
        <f>IF(F126&gt;3,(ISERROR(VLOOKUP(J126,J$112:J125,1,FALSE))),FALSE)</f>
        <v>0</v>
      </c>
      <c r="L126" s="147" t="str">
        <f t="shared" si="88"/>
        <v/>
      </c>
      <c r="M126" s="9"/>
      <c r="N126" s="153" t="str">
        <f t="shared" si="89"/>
        <v/>
      </c>
      <c r="O126" s="153" t="b">
        <f>IF(I126&gt;2,(ISERROR(VLOOKUP(N126,N$112:N125,1,FALSE))),FALSE)</f>
        <v>0</v>
      </c>
      <c r="P126" s="153" t="str">
        <f t="shared" si="90"/>
        <v/>
      </c>
      <c r="Q126" s="168" t="str">
        <f t="shared" si="91"/>
        <v/>
      </c>
      <c r="R126" s="168" t="b">
        <f>IF(AND(F126&gt;0,F126&lt;3),(ISERROR(VLOOKUP(Q126,Q$112:Q125,1,FALSE))),FALSE)</f>
        <v>0</v>
      </c>
      <c r="S126" s="168" t="str">
        <f t="shared" si="92"/>
        <v/>
      </c>
      <c r="T126" s="9"/>
      <c r="U126" s="9"/>
      <c r="V126" s="9"/>
      <c r="W126" s="37"/>
      <c r="X126" s="9"/>
      <c r="Y126" s="9"/>
      <c r="AC126" s="27"/>
      <c r="AG126"/>
      <c r="AI126"/>
      <c r="AJ126"/>
      <c r="AK126"/>
      <c r="AM126"/>
      <c r="AN126" s="1"/>
      <c r="AO126" s="1"/>
      <c r="AP126" s="1"/>
      <c r="AQ126" s="1"/>
      <c r="AX126"/>
      <c r="AY126"/>
      <c r="AZ126"/>
      <c r="BA126"/>
      <c r="BD126" s="1"/>
      <c r="BE126" s="1"/>
      <c r="BN126"/>
      <c r="BO126"/>
    </row>
    <row r="127" spans="1:67" ht="13.5" hidden="1" x14ac:dyDescent="0.25">
      <c r="A127" s="264"/>
      <c r="B127" s="138" t="str">
        <f t="shared" si="81"/>
        <v/>
      </c>
      <c r="C127" s="135" t="str">
        <f t="shared" si="82"/>
        <v/>
      </c>
      <c r="D127" s="130" t="str">
        <f t="shared" si="83"/>
        <v/>
      </c>
      <c r="E127" s="130" t="str">
        <f t="shared" si="84"/>
        <v/>
      </c>
      <c r="F127" s="130">
        <f t="shared" si="85"/>
        <v>0</v>
      </c>
      <c r="G127" s="130" t="str">
        <f t="shared" si="86"/>
        <v/>
      </c>
      <c r="H127" s="130"/>
      <c r="I127" s="130">
        <f t="shared" si="87"/>
        <v>0</v>
      </c>
      <c r="J127" s="148" t="str">
        <f t="shared" si="93"/>
        <v/>
      </c>
      <c r="K127" s="147" t="b">
        <f>IF(F127&gt;3,(ISERROR(VLOOKUP(J127,J$112:J126,1,FALSE))),FALSE)</f>
        <v>0</v>
      </c>
      <c r="L127" s="147" t="str">
        <f t="shared" si="88"/>
        <v/>
      </c>
      <c r="M127" s="9"/>
      <c r="N127" s="153" t="str">
        <f t="shared" si="89"/>
        <v/>
      </c>
      <c r="O127" s="153" t="b">
        <f>IF(I127&gt;2,(ISERROR(VLOOKUP(N127,N$112:N126,1,FALSE))),FALSE)</f>
        <v>0</v>
      </c>
      <c r="P127" s="153" t="str">
        <f t="shared" si="90"/>
        <v/>
      </c>
      <c r="Q127" s="168" t="str">
        <f t="shared" si="91"/>
        <v/>
      </c>
      <c r="R127" s="168" t="b">
        <f>IF(AND(F127&gt;0,F127&lt;3),(ISERROR(VLOOKUP(Q127,Q$112:Q126,1,FALSE))),FALSE)</f>
        <v>0</v>
      </c>
      <c r="S127" s="168" t="str">
        <f t="shared" si="92"/>
        <v/>
      </c>
      <c r="T127" s="9"/>
      <c r="U127" s="9"/>
      <c r="V127" s="9"/>
      <c r="W127" s="37"/>
      <c r="X127" s="9"/>
      <c r="Y127" s="9"/>
      <c r="AC127" s="27"/>
      <c r="AG127"/>
      <c r="AI127"/>
      <c r="AJ127"/>
      <c r="AK127"/>
      <c r="AM127"/>
      <c r="AN127" s="1"/>
      <c r="AO127" s="1"/>
      <c r="AP127" s="1"/>
      <c r="AQ127" s="1"/>
      <c r="AX127"/>
      <c r="AY127"/>
      <c r="AZ127"/>
      <c r="BA127"/>
      <c r="BD127" s="1"/>
      <c r="BE127" s="1"/>
      <c r="BN127"/>
      <c r="BO127"/>
    </row>
    <row r="128" spans="1:67" ht="13.5" hidden="1" x14ac:dyDescent="0.25">
      <c r="A128" s="264"/>
      <c r="B128" s="138" t="str">
        <f t="shared" si="81"/>
        <v/>
      </c>
      <c r="C128" s="135" t="str">
        <f t="shared" si="82"/>
        <v/>
      </c>
      <c r="D128" s="130" t="str">
        <f t="shared" si="83"/>
        <v/>
      </c>
      <c r="E128" s="130" t="str">
        <f t="shared" si="84"/>
        <v/>
      </c>
      <c r="F128" s="130">
        <f t="shared" si="85"/>
        <v>0</v>
      </c>
      <c r="G128" s="130" t="str">
        <f t="shared" si="86"/>
        <v/>
      </c>
      <c r="H128" s="130"/>
      <c r="I128" s="130">
        <f t="shared" si="87"/>
        <v>0</v>
      </c>
      <c r="J128" s="148" t="str">
        <f t="shared" si="93"/>
        <v/>
      </c>
      <c r="K128" s="147" t="b">
        <f>IF(F128&gt;3,(ISERROR(VLOOKUP(J128,J$112:J127,1,FALSE))),FALSE)</f>
        <v>0</v>
      </c>
      <c r="L128" s="147" t="str">
        <f t="shared" si="88"/>
        <v/>
      </c>
      <c r="M128" s="9"/>
      <c r="N128" s="153" t="str">
        <f t="shared" si="89"/>
        <v/>
      </c>
      <c r="O128" s="153" t="b">
        <f>IF(I128&gt;2,(ISERROR(VLOOKUP(N128,N$112:N127,1,FALSE))),FALSE)</f>
        <v>0</v>
      </c>
      <c r="P128" s="153" t="str">
        <f t="shared" si="90"/>
        <v/>
      </c>
      <c r="Q128" s="168" t="str">
        <f t="shared" si="91"/>
        <v/>
      </c>
      <c r="R128" s="168" t="b">
        <f>IF(AND(F128&gt;0,F128&lt;3),(ISERROR(VLOOKUP(Q128,Q$112:Q127,1,FALSE))),FALSE)</f>
        <v>0</v>
      </c>
      <c r="S128" s="168" t="str">
        <f t="shared" si="92"/>
        <v/>
      </c>
      <c r="T128" s="9"/>
      <c r="U128" s="9"/>
      <c r="V128" s="9"/>
      <c r="W128" s="37"/>
      <c r="X128" s="9"/>
      <c r="Y128" s="9"/>
      <c r="AC128" s="27"/>
      <c r="AG128"/>
      <c r="AI128"/>
      <c r="AJ128"/>
      <c r="AK128"/>
      <c r="AM128"/>
      <c r="AN128" s="1"/>
      <c r="AO128" s="1"/>
      <c r="AP128" s="1"/>
      <c r="AQ128" s="1"/>
      <c r="AX128"/>
      <c r="AY128"/>
      <c r="AZ128"/>
      <c r="BA128"/>
      <c r="BD128" s="1"/>
      <c r="BE128" s="1"/>
      <c r="BN128"/>
      <c r="BO128"/>
    </row>
    <row r="129" spans="1:67" ht="13.5" hidden="1" x14ac:dyDescent="0.25">
      <c r="A129" s="264"/>
      <c r="B129" s="138" t="str">
        <f t="shared" si="81"/>
        <v/>
      </c>
      <c r="C129" s="135" t="str">
        <f t="shared" si="82"/>
        <v/>
      </c>
      <c r="D129" s="130" t="str">
        <f t="shared" si="83"/>
        <v/>
      </c>
      <c r="E129" s="130" t="str">
        <f t="shared" si="84"/>
        <v/>
      </c>
      <c r="F129" s="130">
        <f t="shared" si="85"/>
        <v>0</v>
      </c>
      <c r="G129" s="130" t="str">
        <f t="shared" si="86"/>
        <v/>
      </c>
      <c r="H129" s="130"/>
      <c r="I129" s="130">
        <f t="shared" si="87"/>
        <v>0</v>
      </c>
      <c r="J129" s="148" t="str">
        <f t="shared" si="93"/>
        <v/>
      </c>
      <c r="K129" s="147" t="b">
        <f>IF(F129&gt;3,(ISERROR(VLOOKUP(J129,J$112:J128,1,FALSE))),FALSE)</f>
        <v>0</v>
      </c>
      <c r="L129" s="147" t="str">
        <f t="shared" si="88"/>
        <v/>
      </c>
      <c r="M129" s="9"/>
      <c r="N129" s="153" t="str">
        <f t="shared" si="89"/>
        <v/>
      </c>
      <c r="O129" s="153" t="b">
        <f>IF(I129&gt;2,(ISERROR(VLOOKUP(N129,N$112:N128,1,FALSE))),FALSE)</f>
        <v>0</v>
      </c>
      <c r="P129" s="153" t="str">
        <f t="shared" si="90"/>
        <v/>
      </c>
      <c r="Q129" s="168" t="str">
        <f t="shared" si="91"/>
        <v/>
      </c>
      <c r="R129" s="168" t="b">
        <f>IF(AND(F129&gt;0,F129&lt;3),(ISERROR(VLOOKUP(Q129,Q$112:Q128,1,FALSE))),FALSE)</f>
        <v>0</v>
      </c>
      <c r="S129" s="168" t="str">
        <f t="shared" si="92"/>
        <v/>
      </c>
      <c r="T129" s="9"/>
      <c r="U129" s="9"/>
      <c r="V129" s="9"/>
      <c r="W129" s="37"/>
      <c r="X129" s="9"/>
      <c r="Y129" s="9"/>
      <c r="AC129" s="27"/>
      <c r="AG129"/>
      <c r="AI129"/>
      <c r="AJ129"/>
      <c r="AK129"/>
      <c r="AM129"/>
      <c r="AN129" s="1"/>
      <c r="AO129" s="1"/>
      <c r="AP129" s="1"/>
      <c r="AQ129" s="1"/>
      <c r="AX129"/>
      <c r="AY129"/>
      <c r="AZ129"/>
      <c r="BA129"/>
      <c r="BD129" s="1"/>
      <c r="BE129" s="1"/>
      <c r="BN129"/>
      <c r="BO129"/>
    </row>
    <row r="130" spans="1:67" ht="13.5" hidden="1" x14ac:dyDescent="0.25">
      <c r="A130" s="264"/>
      <c r="B130" s="138" t="str">
        <f t="shared" si="81"/>
        <v/>
      </c>
      <c r="C130" s="135" t="str">
        <f t="shared" si="82"/>
        <v/>
      </c>
      <c r="D130" s="130" t="str">
        <f t="shared" si="83"/>
        <v/>
      </c>
      <c r="E130" s="130" t="str">
        <f t="shared" si="84"/>
        <v/>
      </c>
      <c r="F130" s="130">
        <f t="shared" si="85"/>
        <v>0</v>
      </c>
      <c r="G130" s="130" t="str">
        <f t="shared" si="86"/>
        <v/>
      </c>
      <c r="H130" s="130"/>
      <c r="I130" s="130">
        <f t="shared" si="87"/>
        <v>0</v>
      </c>
      <c r="J130" s="148" t="str">
        <f t="shared" si="93"/>
        <v/>
      </c>
      <c r="K130" s="147" t="b">
        <f>IF(F130&gt;3,(ISERROR(VLOOKUP(J130,J$112:J129,1,FALSE))),FALSE)</f>
        <v>0</v>
      </c>
      <c r="L130" s="147" t="str">
        <f t="shared" si="88"/>
        <v/>
      </c>
      <c r="M130" s="9"/>
      <c r="N130" s="153" t="str">
        <f t="shared" si="89"/>
        <v/>
      </c>
      <c r="O130" s="153" t="b">
        <f>IF(I130&gt;2,(ISERROR(VLOOKUP(N130,N$112:N129,1,FALSE))),FALSE)</f>
        <v>0</v>
      </c>
      <c r="P130" s="153" t="str">
        <f t="shared" si="90"/>
        <v/>
      </c>
      <c r="Q130" s="168" t="str">
        <f t="shared" si="91"/>
        <v/>
      </c>
      <c r="R130" s="168" t="b">
        <f>IF(AND(F130&gt;0,F130&lt;3),(ISERROR(VLOOKUP(Q130,Q$112:Q129,1,FALSE))),FALSE)</f>
        <v>0</v>
      </c>
      <c r="S130" s="168" t="str">
        <f t="shared" si="92"/>
        <v/>
      </c>
      <c r="T130" s="9"/>
      <c r="U130" s="9"/>
      <c r="V130" s="9"/>
      <c r="W130" s="37"/>
      <c r="X130" s="9"/>
      <c r="Y130" s="9"/>
      <c r="AC130" s="27"/>
      <c r="AG130"/>
      <c r="AI130"/>
      <c r="AJ130"/>
      <c r="AK130"/>
      <c r="AM130"/>
      <c r="AN130" s="1"/>
      <c r="AO130" s="1"/>
      <c r="AP130" s="1"/>
      <c r="AQ130" s="1"/>
      <c r="AX130"/>
      <c r="AY130"/>
      <c r="AZ130"/>
      <c r="BA130"/>
      <c r="BD130" s="1"/>
      <c r="BE130" s="1"/>
      <c r="BN130"/>
      <c r="BO130"/>
    </row>
    <row r="131" spans="1:67" ht="13.5" hidden="1" x14ac:dyDescent="0.25">
      <c r="A131" s="264"/>
      <c r="B131" s="138" t="str">
        <f t="shared" si="81"/>
        <v/>
      </c>
      <c r="C131" s="135" t="str">
        <f t="shared" si="82"/>
        <v/>
      </c>
      <c r="D131" s="130" t="str">
        <f t="shared" si="83"/>
        <v/>
      </c>
      <c r="E131" s="130" t="str">
        <f t="shared" si="84"/>
        <v/>
      </c>
      <c r="F131" s="130">
        <f t="shared" si="85"/>
        <v>0</v>
      </c>
      <c r="G131" s="130" t="str">
        <f t="shared" si="86"/>
        <v/>
      </c>
      <c r="H131" s="130"/>
      <c r="I131" s="130">
        <f t="shared" si="87"/>
        <v>0</v>
      </c>
      <c r="J131" s="148" t="str">
        <f t="shared" si="93"/>
        <v/>
      </c>
      <c r="K131" s="147" t="b">
        <f>IF(F131&gt;3,(ISERROR(VLOOKUP(J131,J$112:J130,1,FALSE))),FALSE)</f>
        <v>0</v>
      </c>
      <c r="L131" s="147" t="str">
        <f t="shared" si="88"/>
        <v/>
      </c>
      <c r="M131" s="9"/>
      <c r="N131" s="153" t="str">
        <f t="shared" si="89"/>
        <v/>
      </c>
      <c r="O131" s="153" t="b">
        <f>IF(I131&gt;2,(ISERROR(VLOOKUP(N131,N$112:N130,1,FALSE))),FALSE)</f>
        <v>0</v>
      </c>
      <c r="P131" s="153" t="str">
        <f t="shared" si="90"/>
        <v/>
      </c>
      <c r="Q131" s="168" t="str">
        <f t="shared" si="91"/>
        <v/>
      </c>
      <c r="R131" s="168" t="b">
        <f>IF(AND(F131&gt;0,F131&lt;3),(ISERROR(VLOOKUP(Q131,Q$112:Q130,1,FALSE))),FALSE)</f>
        <v>0</v>
      </c>
      <c r="S131" s="168" t="str">
        <f t="shared" si="92"/>
        <v/>
      </c>
      <c r="T131" s="9"/>
      <c r="U131" s="9"/>
      <c r="V131" s="9"/>
      <c r="W131" s="37"/>
      <c r="X131" s="9"/>
      <c r="Y131" s="9"/>
      <c r="AC131" s="27"/>
      <c r="AG131"/>
      <c r="AI131"/>
      <c r="AJ131"/>
      <c r="AK131"/>
      <c r="AM131"/>
      <c r="AN131" s="1"/>
      <c r="AO131" s="1"/>
      <c r="AP131" s="1"/>
      <c r="AQ131" s="1"/>
      <c r="AX131"/>
      <c r="AY131"/>
      <c r="AZ131"/>
      <c r="BA131"/>
      <c r="BD131" s="1"/>
      <c r="BE131" s="1"/>
      <c r="BN131"/>
      <c r="BO131"/>
    </row>
    <row r="132" spans="1:67" ht="13.5" hidden="1" x14ac:dyDescent="0.25">
      <c r="A132" s="264"/>
      <c r="B132" s="138" t="str">
        <f t="shared" si="81"/>
        <v/>
      </c>
      <c r="C132" s="135" t="str">
        <f t="shared" si="82"/>
        <v/>
      </c>
      <c r="D132" s="130" t="str">
        <f t="shared" si="83"/>
        <v/>
      </c>
      <c r="E132" s="130" t="str">
        <f t="shared" si="84"/>
        <v/>
      </c>
      <c r="F132" s="130">
        <f t="shared" si="85"/>
        <v>0</v>
      </c>
      <c r="G132" s="130" t="str">
        <f t="shared" si="86"/>
        <v/>
      </c>
      <c r="H132" s="130"/>
      <c r="I132" s="130">
        <f t="shared" si="87"/>
        <v>0</v>
      </c>
      <c r="J132" s="148" t="str">
        <f t="shared" si="93"/>
        <v/>
      </c>
      <c r="K132" s="147" t="b">
        <f>IF(F132&gt;3,(ISERROR(VLOOKUP(J132,J$112:J131,1,FALSE))),FALSE)</f>
        <v>0</v>
      </c>
      <c r="L132" s="147" t="str">
        <f t="shared" si="88"/>
        <v/>
      </c>
      <c r="M132" s="9"/>
      <c r="N132" s="153" t="str">
        <f t="shared" si="89"/>
        <v/>
      </c>
      <c r="O132" s="153" t="b">
        <f>IF(I132&gt;2,(ISERROR(VLOOKUP(N132,N$112:N131,1,FALSE))),FALSE)</f>
        <v>0</v>
      </c>
      <c r="P132" s="153" t="str">
        <f t="shared" si="90"/>
        <v/>
      </c>
      <c r="Q132" s="168" t="str">
        <f t="shared" si="91"/>
        <v/>
      </c>
      <c r="R132" s="168" t="b">
        <f>IF(AND(F132&gt;0,F132&lt;3),(ISERROR(VLOOKUP(Q132,Q$112:Q131,1,FALSE))),FALSE)</f>
        <v>0</v>
      </c>
      <c r="S132" s="168" t="str">
        <f t="shared" si="92"/>
        <v/>
      </c>
      <c r="T132" s="9"/>
      <c r="U132" s="9"/>
      <c r="V132" s="9"/>
      <c r="W132" s="37"/>
      <c r="X132" s="9"/>
      <c r="Y132" s="9"/>
      <c r="AC132" s="27"/>
      <c r="AG132"/>
      <c r="AI132"/>
      <c r="AJ132"/>
      <c r="AK132"/>
      <c r="AM132"/>
      <c r="AN132" s="1"/>
      <c r="AO132" s="1"/>
      <c r="AP132" s="1"/>
      <c r="AQ132" s="1"/>
      <c r="AX132"/>
      <c r="AY132"/>
      <c r="AZ132"/>
      <c r="BA132"/>
      <c r="BD132" s="1"/>
      <c r="BE132" s="1"/>
      <c r="BN132"/>
      <c r="BO132"/>
    </row>
    <row r="133" spans="1:67" ht="13.5" hidden="1" x14ac:dyDescent="0.25">
      <c r="A133" s="264"/>
      <c r="B133" s="138" t="str">
        <f t="shared" si="81"/>
        <v/>
      </c>
      <c r="C133" s="135" t="str">
        <f t="shared" si="82"/>
        <v/>
      </c>
      <c r="D133" s="130" t="str">
        <f t="shared" si="83"/>
        <v/>
      </c>
      <c r="E133" s="130" t="str">
        <f t="shared" si="84"/>
        <v/>
      </c>
      <c r="F133" s="130">
        <f t="shared" si="85"/>
        <v>0</v>
      </c>
      <c r="G133" s="130" t="str">
        <f t="shared" si="86"/>
        <v/>
      </c>
      <c r="H133" s="130"/>
      <c r="I133" s="130">
        <f t="shared" si="87"/>
        <v>0</v>
      </c>
      <c r="J133" s="148" t="str">
        <f t="shared" si="93"/>
        <v/>
      </c>
      <c r="K133" s="147" t="b">
        <f>IF(F133&gt;3,(ISERROR(VLOOKUP(J133,J$112:J132,1,FALSE))),FALSE)</f>
        <v>0</v>
      </c>
      <c r="L133" s="147" t="str">
        <f t="shared" si="88"/>
        <v/>
      </c>
      <c r="M133" s="9"/>
      <c r="N133" s="153" t="str">
        <f t="shared" si="89"/>
        <v/>
      </c>
      <c r="O133" s="153" t="b">
        <f>IF(I133&gt;2,(ISERROR(VLOOKUP(N133,N$112:N132,1,FALSE))),FALSE)</f>
        <v>0</v>
      </c>
      <c r="P133" s="153" t="str">
        <f t="shared" si="90"/>
        <v/>
      </c>
      <c r="Q133" s="168" t="str">
        <f t="shared" si="91"/>
        <v/>
      </c>
      <c r="R133" s="168" t="b">
        <f>IF(AND(F133&gt;0,F133&lt;3),(ISERROR(VLOOKUP(Q133,Q$112:Q132,1,FALSE))),FALSE)</f>
        <v>0</v>
      </c>
      <c r="S133" s="168" t="str">
        <f t="shared" si="92"/>
        <v/>
      </c>
      <c r="T133" s="9"/>
      <c r="U133" s="9"/>
      <c r="V133" s="9"/>
      <c r="W133" s="37"/>
      <c r="X133" s="9"/>
      <c r="Y133" s="9"/>
      <c r="AC133" s="27"/>
      <c r="AG133"/>
      <c r="AI133"/>
      <c r="AJ133"/>
      <c r="AK133"/>
      <c r="AM133"/>
      <c r="AN133" s="1"/>
      <c r="AO133" s="1"/>
      <c r="AP133" s="1"/>
      <c r="AQ133" s="1"/>
      <c r="AX133"/>
      <c r="AY133"/>
      <c r="AZ133"/>
      <c r="BA133"/>
      <c r="BD133" s="1"/>
      <c r="BE133" s="1"/>
      <c r="BN133"/>
      <c r="BO133"/>
    </row>
    <row r="134" spans="1:67" ht="13.5" hidden="1" x14ac:dyDescent="0.25">
      <c r="A134" s="264"/>
      <c r="B134" s="138" t="str">
        <f t="shared" si="81"/>
        <v/>
      </c>
      <c r="C134" s="135" t="str">
        <f t="shared" si="82"/>
        <v/>
      </c>
      <c r="D134" s="130" t="str">
        <f t="shared" si="83"/>
        <v/>
      </c>
      <c r="E134" s="130" t="str">
        <f t="shared" si="84"/>
        <v/>
      </c>
      <c r="F134" s="130">
        <f t="shared" si="85"/>
        <v>0</v>
      </c>
      <c r="G134" s="130" t="str">
        <f t="shared" si="86"/>
        <v/>
      </c>
      <c r="H134" s="130"/>
      <c r="I134" s="130">
        <f t="shared" si="87"/>
        <v>0</v>
      </c>
      <c r="J134" s="148" t="str">
        <f t="shared" si="93"/>
        <v/>
      </c>
      <c r="K134" s="147" t="b">
        <f>IF(F134&gt;3,(ISERROR(VLOOKUP(J134,J$112:J133,1,FALSE))),FALSE)</f>
        <v>0</v>
      </c>
      <c r="L134" s="147" t="str">
        <f t="shared" si="88"/>
        <v/>
      </c>
      <c r="M134" s="9"/>
      <c r="N134" s="153" t="str">
        <f t="shared" si="89"/>
        <v/>
      </c>
      <c r="O134" s="153" t="b">
        <f>IF(I134&gt;2,(ISERROR(VLOOKUP(N134,N$112:N133,1,FALSE))),FALSE)</f>
        <v>0</v>
      </c>
      <c r="P134" s="153" t="str">
        <f t="shared" si="90"/>
        <v/>
      </c>
      <c r="Q134" s="168" t="str">
        <f t="shared" si="91"/>
        <v/>
      </c>
      <c r="R134" s="168" t="b">
        <f>IF(AND(F134&gt;0,F134&lt;3),(ISERROR(VLOOKUP(Q134,Q$112:Q133,1,FALSE))),FALSE)</f>
        <v>0</v>
      </c>
      <c r="S134" s="168" t="str">
        <f t="shared" si="92"/>
        <v/>
      </c>
      <c r="T134" s="9"/>
      <c r="U134" s="9"/>
      <c r="V134" s="9"/>
      <c r="W134" s="37"/>
      <c r="X134" s="9"/>
      <c r="Y134" s="9"/>
      <c r="AC134" s="27"/>
      <c r="AG134"/>
      <c r="AI134"/>
      <c r="AJ134"/>
      <c r="AK134"/>
      <c r="AM134"/>
      <c r="AN134" s="1"/>
      <c r="AO134" s="1"/>
      <c r="AP134" s="1"/>
      <c r="AQ134" s="1"/>
      <c r="AX134"/>
      <c r="AY134"/>
      <c r="AZ134"/>
      <c r="BA134"/>
      <c r="BD134" s="1"/>
      <c r="BE134" s="1"/>
      <c r="BN134"/>
      <c r="BO134"/>
    </row>
    <row r="135" spans="1:67" ht="13.5" hidden="1" x14ac:dyDescent="0.25">
      <c r="A135" s="264"/>
      <c r="B135" s="138" t="str">
        <f t="shared" si="81"/>
        <v/>
      </c>
      <c r="C135" s="135" t="str">
        <f t="shared" si="82"/>
        <v/>
      </c>
      <c r="D135" s="130" t="str">
        <f t="shared" si="83"/>
        <v/>
      </c>
      <c r="E135" s="130" t="str">
        <f t="shared" si="84"/>
        <v/>
      </c>
      <c r="F135" s="130">
        <f t="shared" si="85"/>
        <v>0</v>
      </c>
      <c r="G135" s="130" t="str">
        <f t="shared" si="86"/>
        <v/>
      </c>
      <c r="H135" s="130"/>
      <c r="I135" s="130">
        <f t="shared" si="87"/>
        <v>0</v>
      </c>
      <c r="J135" s="148" t="str">
        <f t="shared" si="93"/>
        <v/>
      </c>
      <c r="K135" s="147" t="b">
        <f>IF(F135&gt;3,(ISERROR(VLOOKUP(J135,J$112:J134,1,FALSE))),FALSE)</f>
        <v>0</v>
      </c>
      <c r="L135" s="147" t="str">
        <f t="shared" si="88"/>
        <v/>
      </c>
      <c r="M135" s="9"/>
      <c r="N135" s="153" t="str">
        <f t="shared" si="89"/>
        <v/>
      </c>
      <c r="O135" s="153" t="b">
        <f>IF(I135&gt;2,(ISERROR(VLOOKUP(N135,N$112:N134,1,FALSE))),FALSE)</f>
        <v>0</v>
      </c>
      <c r="P135" s="153" t="str">
        <f t="shared" si="90"/>
        <v/>
      </c>
      <c r="Q135" s="168" t="str">
        <f t="shared" si="91"/>
        <v/>
      </c>
      <c r="R135" s="168" t="b">
        <f>IF(AND(F135&gt;0,F135&lt;3),(ISERROR(VLOOKUP(Q135,Q$112:Q134,1,FALSE))),FALSE)</f>
        <v>0</v>
      </c>
      <c r="S135" s="168" t="str">
        <f t="shared" si="92"/>
        <v/>
      </c>
      <c r="T135" s="9"/>
      <c r="U135" s="9"/>
      <c r="V135" s="9"/>
      <c r="W135" s="37"/>
      <c r="X135" s="9"/>
      <c r="Y135" s="9"/>
      <c r="AC135" s="27"/>
      <c r="AG135"/>
      <c r="AI135"/>
      <c r="AJ135"/>
      <c r="AK135"/>
      <c r="AM135"/>
      <c r="AN135" s="1"/>
      <c r="AO135" s="1"/>
      <c r="AP135" s="1"/>
      <c r="AQ135" s="1"/>
      <c r="AX135"/>
      <c r="AY135"/>
      <c r="AZ135"/>
      <c r="BA135"/>
      <c r="BD135" s="1"/>
      <c r="BE135" s="1"/>
      <c r="BN135"/>
      <c r="BO135"/>
    </row>
    <row r="136" spans="1:67" ht="13.5" hidden="1" x14ac:dyDescent="0.25">
      <c r="A136" s="264"/>
      <c r="B136" s="138" t="str">
        <f t="shared" si="81"/>
        <v/>
      </c>
      <c r="C136" s="135" t="str">
        <f t="shared" si="82"/>
        <v/>
      </c>
      <c r="D136" s="130" t="str">
        <f t="shared" si="83"/>
        <v/>
      </c>
      <c r="E136" s="130" t="str">
        <f t="shared" si="84"/>
        <v/>
      </c>
      <c r="F136" s="130">
        <f t="shared" si="85"/>
        <v>0</v>
      </c>
      <c r="G136" s="130" t="str">
        <f t="shared" si="86"/>
        <v/>
      </c>
      <c r="H136" s="130"/>
      <c r="I136" s="130">
        <f t="shared" si="87"/>
        <v>0</v>
      </c>
      <c r="J136" s="148" t="str">
        <f t="shared" si="93"/>
        <v/>
      </c>
      <c r="K136" s="147" t="b">
        <f>IF(F136&gt;3,(ISERROR(VLOOKUP(J136,J$112:J135,1,FALSE))),FALSE)</f>
        <v>0</v>
      </c>
      <c r="L136" s="147" t="str">
        <f t="shared" si="88"/>
        <v/>
      </c>
      <c r="M136" s="9"/>
      <c r="N136" s="153" t="str">
        <f t="shared" si="89"/>
        <v/>
      </c>
      <c r="O136" s="153" t="b">
        <f>IF(I136&gt;2,(ISERROR(VLOOKUP(N136,N$112:N135,1,FALSE))),FALSE)</f>
        <v>0</v>
      </c>
      <c r="P136" s="153" t="str">
        <f t="shared" si="90"/>
        <v/>
      </c>
      <c r="Q136" s="168" t="str">
        <f t="shared" si="91"/>
        <v/>
      </c>
      <c r="R136" s="168" t="b">
        <f>IF(AND(F136&gt;0,F136&lt;3),(ISERROR(VLOOKUP(Q136,Q$112:Q135,1,FALSE))),FALSE)</f>
        <v>0</v>
      </c>
      <c r="S136" s="168" t="str">
        <f t="shared" si="92"/>
        <v/>
      </c>
      <c r="T136" s="9"/>
      <c r="U136" s="9"/>
      <c r="V136" s="9"/>
      <c r="W136" s="37"/>
      <c r="X136" s="9"/>
      <c r="Y136" s="9"/>
      <c r="AC136" s="27"/>
      <c r="AG136"/>
      <c r="AI136"/>
      <c r="AJ136"/>
      <c r="AK136"/>
      <c r="AM136"/>
      <c r="AN136" s="1"/>
      <c r="AO136" s="1"/>
      <c r="AP136" s="1"/>
      <c r="AQ136" s="1"/>
      <c r="AX136"/>
      <c r="AY136"/>
      <c r="AZ136"/>
      <c r="BA136"/>
      <c r="BD136" s="1"/>
      <c r="BE136" s="1"/>
      <c r="BN136"/>
      <c r="BO136"/>
    </row>
    <row r="137" spans="1:67" ht="13.5" hidden="1" x14ac:dyDescent="0.25">
      <c r="A137" s="264"/>
      <c r="B137" s="138" t="str">
        <f t="shared" si="81"/>
        <v/>
      </c>
      <c r="C137" s="135" t="str">
        <f t="shared" si="82"/>
        <v/>
      </c>
      <c r="D137" s="130" t="str">
        <f t="shared" si="83"/>
        <v/>
      </c>
      <c r="E137" s="130" t="str">
        <f t="shared" si="84"/>
        <v/>
      </c>
      <c r="F137" s="130">
        <f t="shared" si="85"/>
        <v>0</v>
      </c>
      <c r="G137" s="130" t="str">
        <f t="shared" si="86"/>
        <v/>
      </c>
      <c r="H137" s="130"/>
      <c r="I137" s="130">
        <f t="shared" si="87"/>
        <v>0</v>
      </c>
      <c r="J137" s="148" t="str">
        <f t="shared" si="93"/>
        <v/>
      </c>
      <c r="K137" s="147" t="b">
        <f>IF(F137&gt;3,(ISERROR(VLOOKUP(J137,J$112:J136,1,FALSE))),FALSE)</f>
        <v>0</v>
      </c>
      <c r="L137" s="147" t="str">
        <f t="shared" si="88"/>
        <v/>
      </c>
      <c r="M137" s="9"/>
      <c r="N137" s="153" t="str">
        <f t="shared" si="89"/>
        <v/>
      </c>
      <c r="O137" s="153" t="b">
        <f>IF(I137&gt;2,(ISERROR(VLOOKUP(N137,N$112:N136,1,FALSE))),FALSE)</f>
        <v>0</v>
      </c>
      <c r="P137" s="153" t="str">
        <f t="shared" si="90"/>
        <v/>
      </c>
      <c r="Q137" s="168" t="str">
        <f t="shared" si="91"/>
        <v/>
      </c>
      <c r="R137" s="168" t="b">
        <f>IF(AND(F137&gt;0,F137&lt;3),(ISERROR(VLOOKUP(Q137,Q$112:Q136,1,FALSE))),FALSE)</f>
        <v>0</v>
      </c>
      <c r="S137" s="168" t="str">
        <f t="shared" si="92"/>
        <v/>
      </c>
      <c r="T137" s="9"/>
      <c r="U137" s="9"/>
      <c r="V137" s="9"/>
      <c r="W137" s="37"/>
      <c r="X137" s="9"/>
      <c r="Y137" s="9"/>
      <c r="AC137" s="27"/>
      <c r="AG137"/>
      <c r="AI137"/>
      <c r="AJ137"/>
      <c r="AK137"/>
      <c r="AM137"/>
      <c r="AN137" s="1"/>
      <c r="AO137" s="1"/>
      <c r="AP137" s="1"/>
      <c r="AQ137" s="1"/>
      <c r="AX137"/>
      <c r="AY137"/>
      <c r="AZ137"/>
      <c r="BA137"/>
      <c r="BD137" s="1"/>
      <c r="BE137" s="1"/>
      <c r="BN137"/>
      <c r="BO137"/>
    </row>
    <row r="138" spans="1:67" ht="14.25" hidden="1" thickBot="1" x14ac:dyDescent="0.3">
      <c r="A138" s="264"/>
      <c r="B138" s="139" t="str">
        <f t="shared" si="81"/>
        <v/>
      </c>
      <c r="C138" s="140" t="str">
        <f t="shared" si="82"/>
        <v/>
      </c>
      <c r="D138" s="131" t="str">
        <f t="shared" si="83"/>
        <v/>
      </c>
      <c r="E138" s="131" t="str">
        <f t="shared" si="84"/>
        <v/>
      </c>
      <c r="F138" s="131">
        <f t="shared" si="85"/>
        <v>0</v>
      </c>
      <c r="G138" s="131" t="str">
        <f t="shared" si="86"/>
        <v/>
      </c>
      <c r="H138" s="131"/>
      <c r="I138" s="131">
        <f t="shared" si="87"/>
        <v>0</v>
      </c>
      <c r="J138" s="148" t="str">
        <f t="shared" si="93"/>
        <v/>
      </c>
      <c r="K138" s="147" t="b">
        <f>IF(F138&gt;3,(ISERROR(VLOOKUP(J138,J$112:J137,1,FALSE))),FALSE)</f>
        <v>0</v>
      </c>
      <c r="L138" s="147" t="str">
        <f t="shared" si="88"/>
        <v/>
      </c>
      <c r="M138" s="9"/>
      <c r="N138" s="153" t="str">
        <f t="shared" si="89"/>
        <v/>
      </c>
      <c r="O138" s="153" t="b">
        <f>IF(I138&gt;2,(ISERROR(VLOOKUP(N138,N$112:N137,1,FALSE))),FALSE)</f>
        <v>0</v>
      </c>
      <c r="P138" s="153" t="str">
        <f t="shared" si="90"/>
        <v/>
      </c>
      <c r="Q138" s="168" t="str">
        <f t="shared" si="91"/>
        <v/>
      </c>
      <c r="R138" s="168" t="b">
        <f>IF(AND(F138&gt;0,F138&lt;3),(ISERROR(VLOOKUP(Q138,Q$112:Q137,1,FALSE))),FALSE)</f>
        <v>0</v>
      </c>
      <c r="S138" s="168" t="str">
        <f t="shared" si="92"/>
        <v/>
      </c>
      <c r="T138" s="9"/>
      <c r="U138" s="9"/>
      <c r="V138" s="9"/>
      <c r="W138" s="37"/>
      <c r="X138" s="9"/>
      <c r="Y138" s="9"/>
      <c r="AC138" s="27"/>
      <c r="AG138"/>
      <c r="AI138"/>
      <c r="AJ138"/>
      <c r="AK138"/>
      <c r="AM138"/>
      <c r="AN138" s="1"/>
      <c r="AO138" s="1"/>
      <c r="AP138" s="1"/>
      <c r="AQ138" s="1"/>
      <c r="AX138"/>
      <c r="AY138"/>
      <c r="AZ138"/>
      <c r="BA138"/>
      <c r="BD138" s="1"/>
      <c r="BE138" s="1"/>
      <c r="BN138"/>
      <c r="BO138"/>
    </row>
    <row r="139" spans="1:67" ht="13.5" hidden="1" thickBot="1" x14ac:dyDescent="0.25">
      <c r="A139" s="265"/>
      <c r="B139" s="31"/>
      <c r="C139" s="31"/>
      <c r="D139" s="31"/>
      <c r="E139" s="31"/>
      <c r="F139" s="155"/>
      <c r="G139" s="31"/>
      <c r="H139" s="31"/>
      <c r="I139" s="31"/>
      <c r="J139" s="156"/>
      <c r="K139" s="157">
        <f>COUNTIF(K112:K138,TRUE)</f>
        <v>0</v>
      </c>
      <c r="L139" s="156" t="str">
        <f>CONCATENATE(L112,L113,L114,L115,L116,L117,L118,L119,L120,L121,L122,L123,L124,L125,L126,L127,L128,L129,L130,L131,L132,L133,L134,L135,L136,L137,L138)</f>
        <v/>
      </c>
      <c r="M139" s="31"/>
      <c r="N139" s="158"/>
      <c r="O139" s="159">
        <f>COUNTIF(O112:O138,TRUE)</f>
        <v>0</v>
      </c>
      <c r="P139" s="158" t="str">
        <f>CONCATENATE(P112,P113,P114,P115,P116,P117,P118,P119,P120,P121,P122,P123,P124,P125,P126,P127,P128,P129,P130,P131,P132,P133,P134,P135,P136,P137,P138)</f>
        <v/>
      </c>
      <c r="Q139" s="169"/>
      <c r="R139" s="170">
        <f>COUNTIF(R112:R138,TRUE)</f>
        <v>0</v>
      </c>
      <c r="S139" s="169" t="str">
        <f>CONCATENATE(S112,S113,S114,S115,S116,S117,S118,S119,S120,S121,S122,S123,S124,S125,S126,S127,S128,S129,S130,S131,S132,S133,S134,S135,S136,S137,S138)</f>
        <v/>
      </c>
      <c r="T139" s="31"/>
      <c r="U139" s="31"/>
      <c r="V139" s="31"/>
      <c r="W139" s="43"/>
      <c r="X139" s="9"/>
      <c r="Y139" s="9"/>
      <c r="AC139" s="27"/>
      <c r="AG139"/>
      <c r="AI139"/>
      <c r="AJ139"/>
      <c r="AK139"/>
      <c r="AM139"/>
      <c r="AN139" s="1"/>
      <c r="AO139" s="1"/>
      <c r="AP139" s="1"/>
      <c r="AQ139" s="1"/>
      <c r="AX139"/>
      <c r="AY139"/>
      <c r="AZ139"/>
      <c r="BA139"/>
      <c r="BD139" s="1"/>
      <c r="BE139" s="1"/>
      <c r="BN139"/>
      <c r="BO139"/>
    </row>
    <row r="140" spans="1:67" hidden="1" x14ac:dyDescent="0.2">
      <c r="I140" s="144"/>
      <c r="R140" s="9"/>
      <c r="S140" s="9"/>
      <c r="T140" s="9"/>
      <c r="U140" s="9"/>
      <c r="V140" s="9"/>
      <c r="W140" s="9"/>
      <c r="X140" s="9"/>
      <c r="Y140" s="9"/>
      <c r="AC140" s="27"/>
      <c r="AG140"/>
      <c r="AI140"/>
      <c r="AJ140"/>
      <c r="AK140"/>
      <c r="AM140"/>
      <c r="AN140" s="1"/>
      <c r="AO140" s="1"/>
      <c r="AP140" s="1"/>
      <c r="AQ140" s="1"/>
      <c r="AX140"/>
      <c r="AY140"/>
      <c r="AZ140"/>
      <c r="BA140"/>
      <c r="BD140" s="1"/>
      <c r="BE140" s="1"/>
      <c r="BN140"/>
      <c r="BO140"/>
    </row>
    <row r="141" spans="1:67" hidden="1" x14ac:dyDescent="0.2">
      <c r="B141" s="134" t="s">
        <v>430</v>
      </c>
      <c r="AC141" s="27"/>
      <c r="AG141"/>
      <c r="AI141"/>
      <c r="AJ141"/>
      <c r="AK141"/>
      <c r="AM141"/>
      <c r="AN141" s="1"/>
      <c r="AO141" s="1"/>
      <c r="AP141" s="1"/>
      <c r="AQ141" s="1"/>
      <c r="AX141"/>
      <c r="AY141"/>
      <c r="AZ141"/>
      <c r="BA141"/>
      <c r="BD141" s="1"/>
      <c r="BE141" s="1"/>
      <c r="BN141"/>
      <c r="BO141"/>
    </row>
    <row r="142" spans="1:67" hidden="1" x14ac:dyDescent="0.2">
      <c r="D142" s="134" t="s">
        <v>444</v>
      </c>
      <c r="AC142" s="27"/>
      <c r="AG142"/>
      <c r="AI142"/>
      <c r="AJ142"/>
      <c r="AK142"/>
      <c r="AM142"/>
      <c r="AN142" s="1"/>
      <c r="AO142" s="1"/>
      <c r="AP142" s="1"/>
      <c r="AQ142" s="1"/>
      <c r="AX142"/>
      <c r="AY142"/>
      <c r="AZ142"/>
      <c r="BA142"/>
      <c r="BD142" s="1"/>
      <c r="BE142" s="1"/>
      <c r="BN142"/>
      <c r="BO142"/>
    </row>
    <row r="143" spans="1:67" hidden="1" x14ac:dyDescent="0.2">
      <c r="B143" s="82" t="s">
        <v>436</v>
      </c>
      <c r="D143" s="292" t="s">
        <v>431</v>
      </c>
      <c r="E143" s="293" t="s">
        <v>12</v>
      </c>
      <c r="F143" s="293" t="s">
        <v>389</v>
      </c>
      <c r="G143" s="293" t="s">
        <v>432</v>
      </c>
      <c r="H143" s="293"/>
      <c r="I143" s="293" t="s">
        <v>433</v>
      </c>
      <c r="J143" s="293" t="s">
        <v>434</v>
      </c>
      <c r="K143" s="294" t="s">
        <v>435</v>
      </c>
      <c r="L143" s="295" t="s">
        <v>443</v>
      </c>
      <c r="M143" s="296" t="s">
        <v>440</v>
      </c>
      <c r="N143" s="295" t="s">
        <v>445</v>
      </c>
      <c r="O143" s="300" t="s">
        <v>448</v>
      </c>
      <c r="R143" s="301" t="s">
        <v>585</v>
      </c>
      <c r="S143" s="302"/>
      <c r="T143" s="302"/>
      <c r="AC143" s="27"/>
      <c r="AG143"/>
      <c r="AI143"/>
      <c r="AJ143"/>
      <c r="AK143"/>
      <c r="AM143"/>
      <c r="AN143" s="1"/>
      <c r="AO143" s="1"/>
      <c r="AP143" s="1"/>
      <c r="AQ143" s="1"/>
      <c r="AX143"/>
      <c r="AY143"/>
      <c r="AZ143"/>
      <c r="BA143"/>
      <c r="BD143" s="1"/>
      <c r="BE143" s="1"/>
      <c r="BN143"/>
      <c r="BO143"/>
    </row>
    <row r="144" spans="1:67" hidden="1" x14ac:dyDescent="0.2">
      <c r="B144" s="82">
        <v>1</v>
      </c>
      <c r="C144" s="1" t="s">
        <v>267</v>
      </c>
      <c r="D144" s="173">
        <f>COUNTIF(L$17:L$43,$C144)</f>
        <v>0</v>
      </c>
      <c r="E144" s="130">
        <f>COUNTIF(M$17:M$43,$C144)</f>
        <v>0</v>
      </c>
      <c r="F144" s="130">
        <f>COUNTIF(N$17:N$43,$C144)</f>
        <v>0</v>
      </c>
      <c r="G144" s="130">
        <f>COUNTIF(O$17:O$43,$C144)</f>
        <v>0</v>
      </c>
      <c r="H144" s="130"/>
      <c r="I144" s="130">
        <f t="shared" ref="I144:I161" si="94">COUNTIF(P$17:P$43,$C144)</f>
        <v>0</v>
      </c>
      <c r="J144" s="130">
        <f t="shared" ref="J144:J161" si="95">COUNTIF(Q$17:Q$43,$C144)</f>
        <v>0</v>
      </c>
      <c r="K144" s="174">
        <f t="shared" ref="K144:K161" si="96">COUNTIF(S$17:S$43,$C144)</f>
        <v>0</v>
      </c>
      <c r="L144" s="190">
        <f t="shared" ref="L144:L161" si="97">SUM(D144:K144)</f>
        <v>0</v>
      </c>
      <c r="M144" s="190">
        <f t="shared" ref="M144:M161" si="98">COUNTIF(L144,"&gt;4")</f>
        <v>0</v>
      </c>
      <c r="N144" s="189" t="str">
        <f t="shared" ref="N144:N161" si="99">IF(M144=1,CONCATENATE(" Gun ",$B144," used too many times ; "),"")</f>
        <v/>
      </c>
      <c r="O144" s="201">
        <f t="shared" ref="O144:O161" si="100">IF(L144=1,1,0)</f>
        <v>0</v>
      </c>
      <c r="P144" s="208" t="str">
        <f t="shared" ref="P144:P161" si="101">IF(L144=1,C144,"")</f>
        <v/>
      </c>
      <c r="Q144" s="186" t="str">
        <f t="shared" ref="Q144:Q161" si="102">IF(L144=1,CONCATENATE("Gun ",B144," is shown as shared but used only once; "),"")</f>
        <v/>
      </c>
      <c r="R144" s="302">
        <f t="shared" ref="R144:R161" si="103">7-COUNTIF(D144:K144,0)</f>
        <v>0</v>
      </c>
      <c r="S144" s="302">
        <f t="shared" ref="S144:S161" si="104">IF(R144&gt;1,1,0)</f>
        <v>0</v>
      </c>
      <c r="T144" s="302" t="str">
        <f>IF(R144&gt;1,CONCATENATE("Gun ",B144," used in ",R144," classes"),"")</f>
        <v/>
      </c>
      <c r="AC144" s="27"/>
      <c r="AG144"/>
      <c r="AI144"/>
      <c r="AJ144"/>
      <c r="AK144"/>
      <c r="AM144"/>
      <c r="AN144" s="1"/>
      <c r="AO144" s="1"/>
      <c r="AP144" s="1"/>
      <c r="AQ144" s="1"/>
      <c r="AX144"/>
      <c r="AY144"/>
      <c r="AZ144"/>
      <c r="BA144"/>
      <c r="BD144" s="1"/>
      <c r="BE144" s="1"/>
      <c r="BN144"/>
      <c r="BO144"/>
    </row>
    <row r="145" spans="2:57" customFormat="1" hidden="1" x14ac:dyDescent="0.2">
      <c r="B145" s="82">
        <v>2</v>
      </c>
      <c r="C145" s="1" t="s">
        <v>266</v>
      </c>
      <c r="D145" s="173">
        <f t="shared" ref="D145:D161" si="105">COUNTIF(L$17:L$43,C145)</f>
        <v>0</v>
      </c>
      <c r="E145" s="130">
        <f t="shared" ref="E145:E161" si="106">COUNTIF(M$17:M$43,$C145)</f>
        <v>0</v>
      </c>
      <c r="F145" s="130">
        <f t="shared" ref="F145:F161" si="107">COUNTIF(N$17:N$43,$C145)</f>
        <v>0</v>
      </c>
      <c r="G145" s="130">
        <f t="shared" ref="G145:G161" si="108">COUNTIF(O$17:O$43,$C145)</f>
        <v>0</v>
      </c>
      <c r="H145" s="130"/>
      <c r="I145" s="130">
        <f t="shared" si="94"/>
        <v>0</v>
      </c>
      <c r="J145" s="130">
        <f t="shared" si="95"/>
        <v>0</v>
      </c>
      <c r="K145" s="174">
        <f t="shared" si="96"/>
        <v>0</v>
      </c>
      <c r="L145" s="190">
        <f t="shared" si="97"/>
        <v>0</v>
      </c>
      <c r="M145" s="190">
        <f t="shared" si="98"/>
        <v>0</v>
      </c>
      <c r="N145" s="189" t="str">
        <f t="shared" si="99"/>
        <v/>
      </c>
      <c r="O145" s="201">
        <f t="shared" si="100"/>
        <v>0</v>
      </c>
      <c r="P145" s="208" t="str">
        <f t="shared" si="101"/>
        <v/>
      </c>
      <c r="Q145" s="186" t="str">
        <f t="shared" si="102"/>
        <v/>
      </c>
      <c r="R145" s="302">
        <f t="shared" si="103"/>
        <v>0</v>
      </c>
      <c r="S145" s="302">
        <f t="shared" si="104"/>
        <v>0</v>
      </c>
      <c r="T145" s="302" t="str">
        <f t="shared" ref="T145:T161" si="109">IF(R145&gt;1,CONCATENATE("Gun ",B145," used in ",R145," classes; "),"")</f>
        <v/>
      </c>
      <c r="AC145" s="27"/>
      <c r="AN145" s="1"/>
      <c r="AO145" s="1"/>
      <c r="AP145" s="1"/>
      <c r="AQ145" s="1"/>
      <c r="BD145" s="1"/>
      <c r="BE145" s="1"/>
    </row>
    <row r="146" spans="2:57" customFormat="1" hidden="1" x14ac:dyDescent="0.2">
      <c r="B146" s="82">
        <v>3</v>
      </c>
      <c r="C146" s="1" t="s">
        <v>265</v>
      </c>
      <c r="D146" s="173">
        <f t="shared" si="105"/>
        <v>0</v>
      </c>
      <c r="E146" s="130">
        <f t="shared" si="106"/>
        <v>0</v>
      </c>
      <c r="F146" s="130">
        <f t="shared" si="107"/>
        <v>0</v>
      </c>
      <c r="G146" s="130">
        <f t="shared" si="108"/>
        <v>0</v>
      </c>
      <c r="H146" s="130"/>
      <c r="I146" s="130">
        <f t="shared" si="94"/>
        <v>0</v>
      </c>
      <c r="J146" s="130">
        <f t="shared" si="95"/>
        <v>0</v>
      </c>
      <c r="K146" s="174">
        <f t="shared" si="96"/>
        <v>0</v>
      </c>
      <c r="L146" s="190">
        <f t="shared" si="97"/>
        <v>0</v>
      </c>
      <c r="M146" s="190">
        <f t="shared" si="98"/>
        <v>0</v>
      </c>
      <c r="N146" s="189" t="str">
        <f t="shared" si="99"/>
        <v/>
      </c>
      <c r="O146" s="201">
        <f t="shared" si="100"/>
        <v>0</v>
      </c>
      <c r="P146" s="208" t="str">
        <f t="shared" si="101"/>
        <v/>
      </c>
      <c r="Q146" s="186" t="str">
        <f t="shared" si="102"/>
        <v/>
      </c>
      <c r="R146" s="302">
        <f t="shared" si="103"/>
        <v>0</v>
      </c>
      <c r="S146" s="302">
        <f t="shared" si="104"/>
        <v>0</v>
      </c>
      <c r="T146" s="302" t="str">
        <f t="shared" si="109"/>
        <v/>
      </c>
      <c r="AC146" s="27"/>
      <c r="AN146" s="1"/>
      <c r="AO146" s="1"/>
      <c r="AP146" s="1"/>
      <c r="AQ146" s="1"/>
      <c r="BD146" s="1"/>
      <c r="BE146" s="1"/>
    </row>
    <row r="147" spans="2:57" customFormat="1" hidden="1" x14ac:dyDescent="0.2">
      <c r="B147" s="82">
        <v>4</v>
      </c>
      <c r="C147" s="1" t="s">
        <v>264</v>
      </c>
      <c r="D147" s="173">
        <f t="shared" si="105"/>
        <v>0</v>
      </c>
      <c r="E147" s="130">
        <f t="shared" si="106"/>
        <v>0</v>
      </c>
      <c r="F147" s="130">
        <f t="shared" si="107"/>
        <v>0</v>
      </c>
      <c r="G147" s="130">
        <f t="shared" si="108"/>
        <v>0</v>
      </c>
      <c r="H147" s="130"/>
      <c r="I147" s="130">
        <f t="shared" si="94"/>
        <v>0</v>
      </c>
      <c r="J147" s="130">
        <f t="shared" si="95"/>
        <v>0</v>
      </c>
      <c r="K147" s="174">
        <f t="shared" si="96"/>
        <v>0</v>
      </c>
      <c r="L147" s="190">
        <f t="shared" si="97"/>
        <v>0</v>
      </c>
      <c r="M147" s="190">
        <f t="shared" si="98"/>
        <v>0</v>
      </c>
      <c r="N147" s="189" t="str">
        <f t="shared" si="99"/>
        <v/>
      </c>
      <c r="O147" s="201">
        <f t="shared" si="100"/>
        <v>0</v>
      </c>
      <c r="P147" s="208" t="str">
        <f t="shared" si="101"/>
        <v/>
      </c>
      <c r="Q147" s="186" t="str">
        <f t="shared" si="102"/>
        <v/>
      </c>
      <c r="R147" s="302">
        <f t="shared" si="103"/>
        <v>0</v>
      </c>
      <c r="S147" s="302">
        <f t="shared" si="104"/>
        <v>0</v>
      </c>
      <c r="T147" s="302" t="str">
        <f t="shared" si="109"/>
        <v/>
      </c>
      <c r="AC147" s="27"/>
      <c r="AN147" s="1"/>
      <c r="AO147" s="1"/>
      <c r="AP147" s="1"/>
      <c r="AQ147" s="1"/>
      <c r="BD147" s="1"/>
      <c r="BE147" s="1"/>
    </row>
    <row r="148" spans="2:57" customFormat="1" hidden="1" x14ac:dyDescent="0.2">
      <c r="B148" s="82">
        <v>5</v>
      </c>
      <c r="C148" s="1" t="s">
        <v>263</v>
      </c>
      <c r="D148" s="173">
        <f t="shared" si="105"/>
        <v>0</v>
      </c>
      <c r="E148" s="130">
        <f t="shared" si="106"/>
        <v>0</v>
      </c>
      <c r="F148" s="130">
        <f t="shared" si="107"/>
        <v>0</v>
      </c>
      <c r="G148" s="130">
        <f t="shared" si="108"/>
        <v>0</v>
      </c>
      <c r="H148" s="130"/>
      <c r="I148" s="130">
        <f t="shared" si="94"/>
        <v>0</v>
      </c>
      <c r="J148" s="130">
        <f t="shared" si="95"/>
        <v>0</v>
      </c>
      <c r="K148" s="174">
        <f t="shared" si="96"/>
        <v>0</v>
      </c>
      <c r="L148" s="190">
        <f t="shared" si="97"/>
        <v>0</v>
      </c>
      <c r="M148" s="190">
        <f t="shared" si="98"/>
        <v>0</v>
      </c>
      <c r="N148" s="189" t="str">
        <f t="shared" si="99"/>
        <v/>
      </c>
      <c r="O148" s="201">
        <f t="shared" si="100"/>
        <v>0</v>
      </c>
      <c r="P148" s="208" t="str">
        <f t="shared" si="101"/>
        <v/>
      </c>
      <c r="Q148" s="186" t="str">
        <f t="shared" si="102"/>
        <v/>
      </c>
      <c r="R148" s="302">
        <f t="shared" si="103"/>
        <v>0</v>
      </c>
      <c r="S148" s="302">
        <f t="shared" si="104"/>
        <v>0</v>
      </c>
      <c r="T148" s="302" t="str">
        <f t="shared" si="109"/>
        <v/>
      </c>
      <c r="AC148" s="27"/>
      <c r="AN148" s="1"/>
      <c r="AO148" s="1"/>
      <c r="AP148" s="1"/>
      <c r="AQ148" s="1"/>
      <c r="BD148" s="1"/>
      <c r="BE148" s="1"/>
    </row>
    <row r="149" spans="2:57" customFormat="1" hidden="1" x14ac:dyDescent="0.2">
      <c r="B149" s="82">
        <v>6</v>
      </c>
      <c r="C149" s="1" t="s">
        <v>262</v>
      </c>
      <c r="D149" s="173">
        <f t="shared" si="105"/>
        <v>0</v>
      </c>
      <c r="E149" s="130">
        <f t="shared" si="106"/>
        <v>0</v>
      </c>
      <c r="F149" s="130">
        <f t="shared" si="107"/>
        <v>0</v>
      </c>
      <c r="G149" s="130">
        <f t="shared" si="108"/>
        <v>0</v>
      </c>
      <c r="H149" s="130"/>
      <c r="I149" s="130">
        <f t="shared" si="94"/>
        <v>0</v>
      </c>
      <c r="J149" s="130">
        <f t="shared" si="95"/>
        <v>0</v>
      </c>
      <c r="K149" s="174">
        <f t="shared" si="96"/>
        <v>0</v>
      </c>
      <c r="L149" s="190">
        <f t="shared" si="97"/>
        <v>0</v>
      </c>
      <c r="M149" s="190">
        <f t="shared" si="98"/>
        <v>0</v>
      </c>
      <c r="N149" s="189" t="str">
        <f t="shared" si="99"/>
        <v/>
      </c>
      <c r="O149" s="201">
        <f t="shared" si="100"/>
        <v>0</v>
      </c>
      <c r="P149" s="208" t="str">
        <f t="shared" si="101"/>
        <v/>
      </c>
      <c r="Q149" s="186" t="str">
        <f t="shared" si="102"/>
        <v/>
      </c>
      <c r="R149" s="302">
        <f t="shared" si="103"/>
        <v>0</v>
      </c>
      <c r="S149" s="302">
        <f t="shared" si="104"/>
        <v>0</v>
      </c>
      <c r="T149" s="302" t="str">
        <f t="shared" si="109"/>
        <v/>
      </c>
      <c r="AC149" s="27"/>
      <c r="AN149" s="1"/>
      <c r="AO149" s="1"/>
      <c r="AP149" s="1"/>
      <c r="AQ149" s="1"/>
      <c r="BD149" s="1"/>
      <c r="BE149" s="1"/>
    </row>
    <row r="150" spans="2:57" customFormat="1" hidden="1" x14ac:dyDescent="0.2">
      <c r="B150" s="82">
        <v>7</v>
      </c>
      <c r="C150" s="1" t="s">
        <v>261</v>
      </c>
      <c r="D150" s="173">
        <f t="shared" si="105"/>
        <v>0</v>
      </c>
      <c r="E150" s="130">
        <f t="shared" si="106"/>
        <v>0</v>
      </c>
      <c r="F150" s="130">
        <f t="shared" si="107"/>
        <v>0</v>
      </c>
      <c r="G150" s="130">
        <f t="shared" si="108"/>
        <v>0</v>
      </c>
      <c r="H150" s="130"/>
      <c r="I150" s="130">
        <f t="shared" si="94"/>
        <v>0</v>
      </c>
      <c r="J150" s="130">
        <f t="shared" si="95"/>
        <v>0</v>
      </c>
      <c r="K150" s="174">
        <f t="shared" si="96"/>
        <v>0</v>
      </c>
      <c r="L150" s="190">
        <f t="shared" si="97"/>
        <v>0</v>
      </c>
      <c r="M150" s="190">
        <f t="shared" si="98"/>
        <v>0</v>
      </c>
      <c r="N150" s="189" t="str">
        <f t="shared" si="99"/>
        <v/>
      </c>
      <c r="O150" s="201">
        <f t="shared" si="100"/>
        <v>0</v>
      </c>
      <c r="P150" s="208" t="str">
        <f t="shared" si="101"/>
        <v/>
      </c>
      <c r="Q150" s="186" t="str">
        <f t="shared" si="102"/>
        <v/>
      </c>
      <c r="R150" s="302">
        <f t="shared" si="103"/>
        <v>0</v>
      </c>
      <c r="S150" s="302">
        <f t="shared" si="104"/>
        <v>0</v>
      </c>
      <c r="T150" s="302" t="str">
        <f t="shared" si="109"/>
        <v/>
      </c>
      <c r="AC150" s="27"/>
      <c r="AN150" s="1"/>
      <c r="AO150" s="1"/>
      <c r="AP150" s="1"/>
      <c r="AQ150" s="1"/>
      <c r="BD150" s="1"/>
      <c r="BE150" s="1"/>
    </row>
    <row r="151" spans="2:57" customFormat="1" hidden="1" x14ac:dyDescent="0.2">
      <c r="B151" s="82">
        <v>8</v>
      </c>
      <c r="C151" s="1" t="s">
        <v>260</v>
      </c>
      <c r="D151" s="173">
        <f t="shared" si="105"/>
        <v>0</v>
      </c>
      <c r="E151" s="130">
        <f t="shared" si="106"/>
        <v>0</v>
      </c>
      <c r="F151" s="130">
        <f t="shared" si="107"/>
        <v>0</v>
      </c>
      <c r="G151" s="130">
        <f t="shared" si="108"/>
        <v>0</v>
      </c>
      <c r="H151" s="130"/>
      <c r="I151" s="130">
        <f t="shared" si="94"/>
        <v>0</v>
      </c>
      <c r="J151" s="130">
        <f t="shared" si="95"/>
        <v>0</v>
      </c>
      <c r="K151" s="174">
        <f t="shared" si="96"/>
        <v>0</v>
      </c>
      <c r="L151" s="190">
        <f t="shared" si="97"/>
        <v>0</v>
      </c>
      <c r="M151" s="190">
        <f t="shared" si="98"/>
        <v>0</v>
      </c>
      <c r="N151" s="189" t="str">
        <f t="shared" si="99"/>
        <v/>
      </c>
      <c r="O151" s="201">
        <f t="shared" si="100"/>
        <v>0</v>
      </c>
      <c r="P151" s="208" t="str">
        <f t="shared" si="101"/>
        <v/>
      </c>
      <c r="Q151" s="186" t="str">
        <f t="shared" si="102"/>
        <v/>
      </c>
      <c r="R151" s="302">
        <f t="shared" si="103"/>
        <v>0</v>
      </c>
      <c r="S151" s="302">
        <f t="shared" si="104"/>
        <v>0</v>
      </c>
      <c r="T151" s="302" t="str">
        <f t="shared" si="109"/>
        <v/>
      </c>
      <c r="AC151" s="27"/>
      <c r="AN151" s="1"/>
      <c r="AO151" s="1"/>
      <c r="AP151" s="1"/>
      <c r="AQ151" s="1"/>
      <c r="BD151" s="1"/>
      <c r="BE151" s="1"/>
    </row>
    <row r="152" spans="2:57" customFormat="1" hidden="1" x14ac:dyDescent="0.2">
      <c r="B152" s="82">
        <v>9</v>
      </c>
      <c r="C152" s="1" t="s">
        <v>259</v>
      </c>
      <c r="D152" s="173">
        <f t="shared" si="105"/>
        <v>0</v>
      </c>
      <c r="E152" s="130">
        <f t="shared" si="106"/>
        <v>0</v>
      </c>
      <c r="F152" s="130">
        <f t="shared" si="107"/>
        <v>0</v>
      </c>
      <c r="G152" s="130">
        <f t="shared" si="108"/>
        <v>0</v>
      </c>
      <c r="H152" s="130"/>
      <c r="I152" s="130">
        <f t="shared" si="94"/>
        <v>0</v>
      </c>
      <c r="J152" s="130">
        <f t="shared" si="95"/>
        <v>0</v>
      </c>
      <c r="K152" s="174">
        <f t="shared" si="96"/>
        <v>0</v>
      </c>
      <c r="L152" s="190">
        <f t="shared" si="97"/>
        <v>0</v>
      </c>
      <c r="M152" s="190">
        <f t="shared" si="98"/>
        <v>0</v>
      </c>
      <c r="N152" s="189" t="str">
        <f t="shared" si="99"/>
        <v/>
      </c>
      <c r="O152" s="201">
        <f t="shared" si="100"/>
        <v>0</v>
      </c>
      <c r="P152" s="208" t="str">
        <f t="shared" si="101"/>
        <v/>
      </c>
      <c r="Q152" s="186" t="str">
        <f t="shared" si="102"/>
        <v/>
      </c>
      <c r="R152" s="302">
        <f t="shared" si="103"/>
        <v>0</v>
      </c>
      <c r="S152" s="302">
        <f t="shared" si="104"/>
        <v>0</v>
      </c>
      <c r="T152" s="302" t="str">
        <f t="shared" si="109"/>
        <v/>
      </c>
      <c r="AC152" s="27"/>
      <c r="AN152" s="1"/>
      <c r="AO152" s="1"/>
      <c r="AP152" s="1"/>
      <c r="AQ152" s="1"/>
      <c r="BD152" s="1"/>
      <c r="BE152" s="1"/>
    </row>
    <row r="153" spans="2:57" customFormat="1" hidden="1" x14ac:dyDescent="0.2">
      <c r="B153" s="82">
        <v>10</v>
      </c>
      <c r="C153" s="1" t="s">
        <v>258</v>
      </c>
      <c r="D153" s="173">
        <f t="shared" si="105"/>
        <v>0</v>
      </c>
      <c r="E153" s="130">
        <f t="shared" si="106"/>
        <v>0</v>
      </c>
      <c r="F153" s="130">
        <f t="shared" si="107"/>
        <v>0</v>
      </c>
      <c r="G153" s="130">
        <f t="shared" si="108"/>
        <v>0</v>
      </c>
      <c r="H153" s="130"/>
      <c r="I153" s="130">
        <f t="shared" si="94"/>
        <v>0</v>
      </c>
      <c r="J153" s="130">
        <f t="shared" si="95"/>
        <v>0</v>
      </c>
      <c r="K153" s="174">
        <f t="shared" si="96"/>
        <v>0</v>
      </c>
      <c r="L153" s="190">
        <f t="shared" si="97"/>
        <v>0</v>
      </c>
      <c r="M153" s="190">
        <f t="shared" si="98"/>
        <v>0</v>
      </c>
      <c r="N153" s="189" t="str">
        <f t="shared" si="99"/>
        <v/>
      </c>
      <c r="O153" s="201">
        <f t="shared" si="100"/>
        <v>0</v>
      </c>
      <c r="P153" s="208" t="str">
        <f t="shared" si="101"/>
        <v/>
      </c>
      <c r="Q153" s="186" t="str">
        <f t="shared" si="102"/>
        <v/>
      </c>
      <c r="R153" s="302">
        <f t="shared" si="103"/>
        <v>0</v>
      </c>
      <c r="S153" s="302">
        <f t="shared" si="104"/>
        <v>0</v>
      </c>
      <c r="T153" s="302" t="str">
        <f t="shared" si="109"/>
        <v/>
      </c>
      <c r="AC153" s="27"/>
      <c r="AN153" s="1"/>
      <c r="AO153" s="1"/>
      <c r="AP153" s="1"/>
      <c r="AQ153" s="1"/>
      <c r="BD153" s="1"/>
      <c r="BE153" s="1"/>
    </row>
    <row r="154" spans="2:57" customFormat="1" hidden="1" x14ac:dyDescent="0.2">
      <c r="B154" s="82">
        <v>11</v>
      </c>
      <c r="C154" s="1" t="s">
        <v>257</v>
      </c>
      <c r="D154" s="173">
        <f t="shared" si="105"/>
        <v>0</v>
      </c>
      <c r="E154" s="130">
        <f t="shared" si="106"/>
        <v>0</v>
      </c>
      <c r="F154" s="130">
        <f t="shared" si="107"/>
        <v>0</v>
      </c>
      <c r="G154" s="130">
        <f t="shared" si="108"/>
        <v>0</v>
      </c>
      <c r="H154" s="130"/>
      <c r="I154" s="130">
        <f t="shared" si="94"/>
        <v>0</v>
      </c>
      <c r="J154" s="130">
        <f t="shared" si="95"/>
        <v>0</v>
      </c>
      <c r="K154" s="174">
        <f t="shared" si="96"/>
        <v>0</v>
      </c>
      <c r="L154" s="190">
        <f t="shared" si="97"/>
        <v>0</v>
      </c>
      <c r="M154" s="190">
        <f t="shared" si="98"/>
        <v>0</v>
      </c>
      <c r="N154" s="189" t="str">
        <f t="shared" si="99"/>
        <v/>
      </c>
      <c r="O154" s="201">
        <f t="shared" si="100"/>
        <v>0</v>
      </c>
      <c r="P154" s="208" t="str">
        <f t="shared" si="101"/>
        <v/>
      </c>
      <c r="Q154" s="186" t="str">
        <f t="shared" si="102"/>
        <v/>
      </c>
      <c r="R154" s="302">
        <f t="shared" si="103"/>
        <v>0</v>
      </c>
      <c r="S154" s="302">
        <f t="shared" si="104"/>
        <v>0</v>
      </c>
      <c r="T154" s="302" t="str">
        <f t="shared" si="109"/>
        <v/>
      </c>
      <c r="AC154" s="27"/>
      <c r="AN154" s="1"/>
      <c r="AO154" s="1"/>
      <c r="AP154" s="1"/>
      <c r="AQ154" s="1"/>
      <c r="BD154" s="1"/>
      <c r="BE154" s="1"/>
    </row>
    <row r="155" spans="2:57" customFormat="1" hidden="1" x14ac:dyDescent="0.2">
      <c r="B155" s="82">
        <v>12</v>
      </c>
      <c r="C155" s="1" t="s">
        <v>256</v>
      </c>
      <c r="D155" s="173">
        <f t="shared" si="105"/>
        <v>0</v>
      </c>
      <c r="E155" s="130">
        <f t="shared" si="106"/>
        <v>0</v>
      </c>
      <c r="F155" s="130">
        <f t="shared" si="107"/>
        <v>0</v>
      </c>
      <c r="G155" s="130">
        <f t="shared" si="108"/>
        <v>0</v>
      </c>
      <c r="H155" s="130"/>
      <c r="I155" s="130">
        <f t="shared" si="94"/>
        <v>0</v>
      </c>
      <c r="J155" s="130">
        <f t="shared" si="95"/>
        <v>0</v>
      </c>
      <c r="K155" s="174">
        <f t="shared" si="96"/>
        <v>0</v>
      </c>
      <c r="L155" s="190">
        <f t="shared" si="97"/>
        <v>0</v>
      </c>
      <c r="M155" s="190">
        <f t="shared" si="98"/>
        <v>0</v>
      </c>
      <c r="N155" s="189" t="str">
        <f t="shared" si="99"/>
        <v/>
      </c>
      <c r="O155" s="201">
        <f t="shared" si="100"/>
        <v>0</v>
      </c>
      <c r="P155" s="208" t="str">
        <f t="shared" si="101"/>
        <v/>
      </c>
      <c r="Q155" s="186" t="str">
        <f t="shared" si="102"/>
        <v/>
      </c>
      <c r="R155" s="302">
        <f t="shared" si="103"/>
        <v>0</v>
      </c>
      <c r="S155" s="302">
        <f t="shared" si="104"/>
        <v>0</v>
      </c>
      <c r="T155" s="302" t="str">
        <f t="shared" si="109"/>
        <v/>
      </c>
      <c r="AC155" s="27"/>
      <c r="AN155" s="1"/>
      <c r="AO155" s="1"/>
      <c r="AP155" s="1"/>
      <c r="AQ155" s="1"/>
      <c r="BD155" s="1"/>
      <c r="BE155" s="1"/>
    </row>
    <row r="156" spans="2:57" customFormat="1" hidden="1" x14ac:dyDescent="0.2">
      <c r="B156" s="82">
        <v>13</v>
      </c>
      <c r="C156" s="1" t="s">
        <v>244</v>
      </c>
      <c r="D156" s="173">
        <f t="shared" si="105"/>
        <v>0</v>
      </c>
      <c r="E156" s="130">
        <f t="shared" si="106"/>
        <v>0</v>
      </c>
      <c r="F156" s="130">
        <f t="shared" si="107"/>
        <v>0</v>
      </c>
      <c r="G156" s="130">
        <f t="shared" si="108"/>
        <v>0</v>
      </c>
      <c r="H156" s="130"/>
      <c r="I156" s="130">
        <f t="shared" si="94"/>
        <v>0</v>
      </c>
      <c r="J156" s="130">
        <f t="shared" si="95"/>
        <v>0</v>
      </c>
      <c r="K156" s="174">
        <f t="shared" si="96"/>
        <v>0</v>
      </c>
      <c r="L156" s="190">
        <f t="shared" si="97"/>
        <v>0</v>
      </c>
      <c r="M156" s="190">
        <f t="shared" si="98"/>
        <v>0</v>
      </c>
      <c r="N156" s="189" t="str">
        <f t="shared" si="99"/>
        <v/>
      </c>
      <c r="O156" s="201">
        <f t="shared" si="100"/>
        <v>0</v>
      </c>
      <c r="P156" s="208" t="str">
        <f t="shared" si="101"/>
        <v/>
      </c>
      <c r="Q156" s="186" t="str">
        <f t="shared" si="102"/>
        <v/>
      </c>
      <c r="R156" s="302">
        <f t="shared" si="103"/>
        <v>0</v>
      </c>
      <c r="S156" s="302">
        <f t="shared" si="104"/>
        <v>0</v>
      </c>
      <c r="T156" s="302" t="str">
        <f t="shared" si="109"/>
        <v/>
      </c>
      <c r="AC156" s="27"/>
      <c r="AN156" s="1"/>
      <c r="AO156" s="1"/>
      <c r="AP156" s="1"/>
      <c r="AQ156" s="1"/>
      <c r="BD156" s="1"/>
      <c r="BE156" s="1"/>
    </row>
    <row r="157" spans="2:57" customFormat="1" hidden="1" x14ac:dyDescent="0.2">
      <c r="B157" s="82">
        <v>14</v>
      </c>
      <c r="C157" s="1" t="s">
        <v>245</v>
      </c>
      <c r="D157" s="173">
        <f t="shared" si="105"/>
        <v>0</v>
      </c>
      <c r="E157" s="130">
        <f t="shared" si="106"/>
        <v>0</v>
      </c>
      <c r="F157" s="130">
        <f t="shared" si="107"/>
        <v>0</v>
      </c>
      <c r="G157" s="130">
        <f t="shared" si="108"/>
        <v>0</v>
      </c>
      <c r="H157" s="130"/>
      <c r="I157" s="130">
        <f t="shared" si="94"/>
        <v>0</v>
      </c>
      <c r="J157" s="130">
        <f t="shared" si="95"/>
        <v>0</v>
      </c>
      <c r="K157" s="174">
        <f t="shared" si="96"/>
        <v>0</v>
      </c>
      <c r="L157" s="190">
        <f t="shared" si="97"/>
        <v>0</v>
      </c>
      <c r="M157" s="190">
        <f t="shared" si="98"/>
        <v>0</v>
      </c>
      <c r="N157" s="189" t="str">
        <f t="shared" si="99"/>
        <v/>
      </c>
      <c r="O157" s="201">
        <f t="shared" si="100"/>
        <v>0</v>
      </c>
      <c r="P157" s="208" t="str">
        <f t="shared" si="101"/>
        <v/>
      </c>
      <c r="Q157" s="186" t="str">
        <f t="shared" si="102"/>
        <v/>
      </c>
      <c r="R157" s="302">
        <f t="shared" si="103"/>
        <v>0</v>
      </c>
      <c r="S157" s="302">
        <f t="shared" si="104"/>
        <v>0</v>
      </c>
      <c r="T157" s="302" t="str">
        <f t="shared" si="109"/>
        <v/>
      </c>
      <c r="AC157" s="27"/>
      <c r="AN157" s="1"/>
      <c r="AO157" s="1"/>
      <c r="AP157" s="1"/>
      <c r="AQ157" s="1"/>
      <c r="BD157" s="1"/>
      <c r="BE157" s="1"/>
    </row>
    <row r="158" spans="2:57" customFormat="1" hidden="1" x14ac:dyDescent="0.2">
      <c r="B158" s="82">
        <v>15</v>
      </c>
      <c r="C158" s="1" t="s">
        <v>246</v>
      </c>
      <c r="D158" s="173">
        <f t="shared" si="105"/>
        <v>0</v>
      </c>
      <c r="E158" s="130">
        <f t="shared" si="106"/>
        <v>0</v>
      </c>
      <c r="F158" s="130">
        <f t="shared" si="107"/>
        <v>0</v>
      </c>
      <c r="G158" s="130">
        <f t="shared" si="108"/>
        <v>0</v>
      </c>
      <c r="H158" s="130"/>
      <c r="I158" s="130">
        <f t="shared" si="94"/>
        <v>0</v>
      </c>
      <c r="J158" s="130">
        <f t="shared" si="95"/>
        <v>0</v>
      </c>
      <c r="K158" s="174">
        <f t="shared" si="96"/>
        <v>0</v>
      </c>
      <c r="L158" s="190">
        <f t="shared" si="97"/>
        <v>0</v>
      </c>
      <c r="M158" s="190">
        <f t="shared" si="98"/>
        <v>0</v>
      </c>
      <c r="N158" s="189" t="str">
        <f t="shared" si="99"/>
        <v/>
      </c>
      <c r="O158" s="201">
        <f t="shared" si="100"/>
        <v>0</v>
      </c>
      <c r="P158" s="208" t="str">
        <f t="shared" si="101"/>
        <v/>
      </c>
      <c r="Q158" s="186" t="str">
        <f t="shared" si="102"/>
        <v/>
      </c>
      <c r="R158" s="302">
        <f t="shared" si="103"/>
        <v>0</v>
      </c>
      <c r="S158" s="302">
        <f t="shared" si="104"/>
        <v>0</v>
      </c>
      <c r="T158" s="302" t="str">
        <f t="shared" si="109"/>
        <v/>
      </c>
      <c r="AC158" s="27"/>
      <c r="AN158" s="1"/>
      <c r="AO158" s="1"/>
      <c r="AP158" s="1"/>
      <c r="AQ158" s="1"/>
      <c r="BD158" s="1"/>
      <c r="BE158" s="1"/>
    </row>
    <row r="159" spans="2:57" customFormat="1" hidden="1" x14ac:dyDescent="0.2">
      <c r="B159" s="82">
        <v>16</v>
      </c>
      <c r="C159" s="1" t="s">
        <v>247</v>
      </c>
      <c r="D159" s="173">
        <f t="shared" si="105"/>
        <v>0</v>
      </c>
      <c r="E159" s="130">
        <f t="shared" si="106"/>
        <v>0</v>
      </c>
      <c r="F159" s="130">
        <f t="shared" si="107"/>
        <v>0</v>
      </c>
      <c r="G159" s="130">
        <f t="shared" si="108"/>
        <v>0</v>
      </c>
      <c r="H159" s="130"/>
      <c r="I159" s="130">
        <f t="shared" si="94"/>
        <v>0</v>
      </c>
      <c r="J159" s="130">
        <f t="shared" si="95"/>
        <v>0</v>
      </c>
      <c r="K159" s="174">
        <f t="shared" si="96"/>
        <v>0</v>
      </c>
      <c r="L159" s="190">
        <f t="shared" si="97"/>
        <v>0</v>
      </c>
      <c r="M159" s="190">
        <f t="shared" si="98"/>
        <v>0</v>
      </c>
      <c r="N159" s="189" t="str">
        <f t="shared" si="99"/>
        <v/>
      </c>
      <c r="O159" s="201">
        <f t="shared" si="100"/>
        <v>0</v>
      </c>
      <c r="P159" s="208" t="str">
        <f t="shared" si="101"/>
        <v/>
      </c>
      <c r="Q159" s="186" t="str">
        <f t="shared" si="102"/>
        <v/>
      </c>
      <c r="R159" s="302">
        <f t="shared" si="103"/>
        <v>0</v>
      </c>
      <c r="S159" s="302">
        <f t="shared" si="104"/>
        <v>0</v>
      </c>
      <c r="T159" s="302" t="str">
        <f t="shared" si="109"/>
        <v/>
      </c>
      <c r="AC159" s="27"/>
      <c r="AN159" s="1"/>
      <c r="AO159" s="1"/>
      <c r="AP159" s="1"/>
      <c r="AQ159" s="1"/>
      <c r="BD159" s="1"/>
      <c r="BE159" s="1"/>
    </row>
    <row r="160" spans="2:57" customFormat="1" hidden="1" x14ac:dyDescent="0.2">
      <c r="B160" s="82">
        <v>17</v>
      </c>
      <c r="C160" s="1" t="s">
        <v>248</v>
      </c>
      <c r="D160" s="173">
        <f t="shared" si="105"/>
        <v>0</v>
      </c>
      <c r="E160" s="130">
        <f t="shared" si="106"/>
        <v>0</v>
      </c>
      <c r="F160" s="130">
        <f t="shared" si="107"/>
        <v>0</v>
      </c>
      <c r="G160" s="130">
        <f t="shared" si="108"/>
        <v>0</v>
      </c>
      <c r="H160" s="130"/>
      <c r="I160" s="130">
        <f t="shared" si="94"/>
        <v>0</v>
      </c>
      <c r="J160" s="130">
        <f t="shared" si="95"/>
        <v>0</v>
      </c>
      <c r="K160" s="174">
        <f t="shared" si="96"/>
        <v>0</v>
      </c>
      <c r="L160" s="190">
        <f t="shared" si="97"/>
        <v>0</v>
      </c>
      <c r="M160" s="190">
        <f t="shared" si="98"/>
        <v>0</v>
      </c>
      <c r="N160" s="189" t="str">
        <f t="shared" si="99"/>
        <v/>
      </c>
      <c r="O160" s="201">
        <f t="shared" si="100"/>
        <v>0</v>
      </c>
      <c r="P160" s="208" t="str">
        <f t="shared" si="101"/>
        <v/>
      </c>
      <c r="Q160" s="186" t="str">
        <f t="shared" si="102"/>
        <v/>
      </c>
      <c r="R160" s="302">
        <f t="shared" si="103"/>
        <v>0</v>
      </c>
      <c r="S160" s="302">
        <f t="shared" si="104"/>
        <v>0</v>
      </c>
      <c r="T160" s="302" t="str">
        <f t="shared" si="109"/>
        <v/>
      </c>
      <c r="AC160" s="27"/>
      <c r="AN160" s="1"/>
      <c r="AO160" s="1"/>
      <c r="AP160" s="1"/>
      <c r="AQ160" s="1"/>
      <c r="BD160" s="1"/>
      <c r="BE160" s="1"/>
    </row>
    <row r="161" spans="1:67" ht="13.5" hidden="1" thickBot="1" x14ac:dyDescent="0.25">
      <c r="B161" s="82">
        <v>18</v>
      </c>
      <c r="C161" s="1" t="s">
        <v>249</v>
      </c>
      <c r="D161" s="175">
        <f t="shared" si="105"/>
        <v>0</v>
      </c>
      <c r="E161" s="176">
        <f t="shared" si="106"/>
        <v>0</v>
      </c>
      <c r="F161" s="176">
        <f t="shared" si="107"/>
        <v>0</v>
      </c>
      <c r="G161" s="176">
        <f t="shared" si="108"/>
        <v>0</v>
      </c>
      <c r="H161" s="176"/>
      <c r="I161" s="176">
        <f t="shared" si="94"/>
        <v>0</v>
      </c>
      <c r="J161" s="176">
        <f t="shared" si="95"/>
        <v>0</v>
      </c>
      <c r="K161" s="177">
        <f t="shared" si="96"/>
        <v>0</v>
      </c>
      <c r="L161" s="190">
        <f t="shared" si="97"/>
        <v>0</v>
      </c>
      <c r="M161" s="190">
        <f t="shared" si="98"/>
        <v>0</v>
      </c>
      <c r="N161" s="189" t="str">
        <f t="shared" si="99"/>
        <v/>
      </c>
      <c r="O161" s="201">
        <f t="shared" si="100"/>
        <v>0</v>
      </c>
      <c r="P161" s="208" t="str">
        <f t="shared" si="101"/>
        <v/>
      </c>
      <c r="Q161" s="186" t="str">
        <f t="shared" si="102"/>
        <v/>
      </c>
      <c r="R161" s="302">
        <f t="shared" si="103"/>
        <v>0</v>
      </c>
      <c r="S161" s="302">
        <f t="shared" si="104"/>
        <v>0</v>
      </c>
      <c r="T161" s="302" t="str">
        <f t="shared" si="109"/>
        <v/>
      </c>
      <c r="AC161" s="27"/>
      <c r="AG161"/>
      <c r="AI161"/>
      <c r="AJ161"/>
      <c r="AK161"/>
      <c r="AM161"/>
      <c r="AN161" s="1"/>
      <c r="AO161" s="1"/>
      <c r="AP161" s="1"/>
      <c r="AQ161" s="1"/>
      <c r="AX161"/>
      <c r="AY161"/>
      <c r="AZ161"/>
      <c r="BA161"/>
      <c r="BD161" s="1"/>
      <c r="BE161" s="1"/>
      <c r="BN161"/>
      <c r="BO161"/>
    </row>
    <row r="162" spans="1:67" ht="13.5" hidden="1" thickBot="1" x14ac:dyDescent="0.25">
      <c r="M162" s="200">
        <f>SUM(M144:M161)</f>
        <v>0</v>
      </c>
      <c r="N162" s="189" t="str">
        <f>CONCATENATE(N144,N145,N146,N147,N148,N149,N150,N151,N152,N153,N154,N155,N156,N157,N158,N159,N160,N161,)</f>
        <v/>
      </c>
      <c r="O162" s="202">
        <f>SUM(O144:O161)</f>
        <v>0</v>
      </c>
      <c r="Q162" s="187" t="str">
        <f>CONCATENATE(Q144,Q145,Q146,Q147,Q148,Q149,Q150,Q151,Q152,Q153,Q154,Q155,Q156,Q157,Q158,Q159,Q160,Q161,)</f>
        <v/>
      </c>
      <c r="R162" s="302"/>
      <c r="S162" s="302">
        <f>SUM(S144:S161)</f>
        <v>0</v>
      </c>
      <c r="T162" s="302" t="str">
        <f>IF(S162&gt;0,CONCATENATE(T144,T145,T146,T147,T148,T149,T150,T151,T152,T153,T154,T155,T156,T157,T158,T159,T160,T161),"")</f>
        <v/>
      </c>
      <c r="AC162" s="27"/>
      <c r="AG162"/>
      <c r="AI162"/>
      <c r="AJ162"/>
      <c r="AK162"/>
      <c r="AM162"/>
      <c r="AN162" s="1"/>
      <c r="AO162" s="1"/>
      <c r="AP162" s="1"/>
      <c r="AQ162" s="1"/>
      <c r="AX162"/>
      <c r="AY162"/>
      <c r="AZ162"/>
      <c r="BA162"/>
      <c r="BD162" s="1"/>
      <c r="BE162" s="1"/>
      <c r="BN162"/>
      <c r="BO162"/>
    </row>
    <row r="163" spans="1:67" hidden="1" x14ac:dyDescent="0.2">
      <c r="AC163" s="27"/>
      <c r="AG163"/>
      <c r="AI163"/>
      <c r="AJ163"/>
      <c r="AK163"/>
      <c r="AM163"/>
      <c r="AN163" s="1"/>
      <c r="AO163" s="1"/>
      <c r="AP163" s="1"/>
      <c r="AQ163" s="1"/>
      <c r="AX163"/>
      <c r="AY163"/>
      <c r="AZ163"/>
      <c r="BA163"/>
      <c r="BD163" s="1"/>
      <c r="BE163" s="1"/>
      <c r="BN163"/>
      <c r="BO163"/>
    </row>
    <row r="164" spans="1:67" hidden="1" x14ac:dyDescent="0.2">
      <c r="B164" s="134" t="s">
        <v>442</v>
      </c>
      <c r="AC164" s="27"/>
      <c r="AG164"/>
      <c r="AI164"/>
      <c r="AJ164"/>
      <c r="AK164"/>
      <c r="AM164"/>
      <c r="AN164" s="1"/>
      <c r="AO164" s="1"/>
      <c r="AP164" s="1"/>
      <c r="AQ164" s="1"/>
      <c r="AX164"/>
      <c r="AY164"/>
      <c r="AZ164"/>
      <c r="BA164"/>
      <c r="BD164" s="1"/>
      <c r="BE164" s="1"/>
      <c r="BN164"/>
      <c r="BO164"/>
    </row>
    <row r="165" spans="1:67" hidden="1" x14ac:dyDescent="0.2">
      <c r="B165" s="297" t="s">
        <v>437</v>
      </c>
      <c r="C165" s="298" t="s">
        <v>12</v>
      </c>
      <c r="D165" s="298" t="s">
        <v>438</v>
      </c>
      <c r="E165" s="298" t="s">
        <v>432</v>
      </c>
      <c r="F165" s="298" t="s">
        <v>433</v>
      </c>
      <c r="G165" s="298" t="s">
        <v>439</v>
      </c>
      <c r="H165" s="298"/>
      <c r="I165" s="299" t="s">
        <v>435</v>
      </c>
      <c r="J165" s="194" t="s">
        <v>440</v>
      </c>
      <c r="M165" s="134" t="s">
        <v>442</v>
      </c>
      <c r="AC165" s="27"/>
      <c r="AG165"/>
      <c r="AI165"/>
      <c r="AJ165"/>
      <c r="AK165"/>
      <c r="AM165"/>
      <c r="AN165" s="1"/>
      <c r="AO165" s="1"/>
      <c r="AP165" s="1"/>
      <c r="AQ165" s="1"/>
      <c r="AX165"/>
      <c r="AY165"/>
      <c r="AZ165"/>
      <c r="BA165"/>
      <c r="BD165" s="1"/>
      <c r="BE165" s="1"/>
      <c r="BN165"/>
      <c r="BO165"/>
    </row>
    <row r="166" spans="1:67" hidden="1" x14ac:dyDescent="0.2">
      <c r="A166" s="291" t="s">
        <v>85</v>
      </c>
      <c r="B166" s="195">
        <v>4</v>
      </c>
      <c r="C166" s="195">
        <v>4</v>
      </c>
      <c r="D166" s="195">
        <v>4</v>
      </c>
      <c r="E166" s="195">
        <v>4</v>
      </c>
      <c r="F166" s="195">
        <v>4</v>
      </c>
      <c r="G166" s="195">
        <v>2</v>
      </c>
      <c r="H166" s="195"/>
      <c r="I166" s="195">
        <v>3</v>
      </c>
      <c r="J166" s="195"/>
      <c r="M166" s="178" t="s">
        <v>437</v>
      </c>
      <c r="N166" s="179" t="s">
        <v>12</v>
      </c>
      <c r="O166" s="179" t="s">
        <v>438</v>
      </c>
      <c r="P166" s="179" t="s">
        <v>432</v>
      </c>
      <c r="Q166" s="179" t="s">
        <v>433</v>
      </c>
      <c r="R166" s="179" t="s">
        <v>439</v>
      </c>
      <c r="S166" s="172" t="s">
        <v>435</v>
      </c>
      <c r="T166" s="196" t="s">
        <v>440</v>
      </c>
      <c r="AC166" s="27"/>
      <c r="AG166"/>
      <c r="AI166"/>
      <c r="AJ166"/>
      <c r="AK166"/>
      <c r="AM166"/>
      <c r="AN166" s="1"/>
      <c r="AO166" s="1"/>
      <c r="AP166" s="1"/>
      <c r="AQ166" s="1"/>
      <c r="AX166"/>
      <c r="AY166"/>
      <c r="AZ166"/>
      <c r="BA166"/>
      <c r="BD166" s="1"/>
      <c r="BE166" s="1"/>
      <c r="BN166"/>
      <c r="BO166"/>
    </row>
    <row r="167" spans="1:67" hidden="1" x14ac:dyDescent="0.2">
      <c r="B167" s="286" t="str">
        <f>IF(D144&gt;B$166,1,"")</f>
        <v/>
      </c>
      <c r="C167" s="287" t="str">
        <f t="shared" ref="C167:E182" si="110">IF(E144&gt;C$166,1,"")</f>
        <v/>
      </c>
      <c r="D167" s="287" t="str">
        <f t="shared" si="110"/>
        <v/>
      </c>
      <c r="E167" s="287" t="str">
        <f t="shared" si="110"/>
        <v/>
      </c>
      <c r="F167" s="287" t="str">
        <f t="shared" ref="F167:F184" si="111">IF(I144&gt;F$166,1,"")</f>
        <v/>
      </c>
      <c r="G167" s="287" t="str">
        <f t="shared" ref="G167:G184" si="112">IF(J144&gt;G$166,1,"")</f>
        <v/>
      </c>
      <c r="H167" s="287"/>
      <c r="I167" s="172" t="str">
        <f t="shared" ref="I167:I184" si="113">IF(K144&gt;I$166,1,"")</f>
        <v/>
      </c>
      <c r="J167" s="288">
        <f>SUM(B167:I167)</f>
        <v>0</v>
      </c>
      <c r="M167" s="180" t="str">
        <f t="shared" ref="M167:M184" si="114">IF(B167=1,CONCATENATE("Too many shooters using Gun ",$B144," in ",B$165,"; "),"")</f>
        <v/>
      </c>
      <c r="N167" s="9" t="str">
        <f t="shared" ref="N167:N184" si="115">IF(C167=1,CONCATENATE("Too many shooters using Gun ",$B144," in ",C$165,"; "),"")</f>
        <v/>
      </c>
      <c r="O167" s="9" t="str">
        <f t="shared" ref="O167:O184" si="116">IF(D167=1,CONCATENATE("Too many shooters using Gun ",$B144," in ",D$165,"; "),"")</f>
        <v/>
      </c>
      <c r="P167" s="9" t="str">
        <f t="shared" ref="P167:P184" si="117">IF(E167=1,CONCATENATE("Too many shooters using Gun ",$B144," in ",E$165,"; "),"")</f>
        <v/>
      </c>
      <c r="Q167" s="9" t="str">
        <f t="shared" ref="Q167:Q184" si="118">IF(F167=1,CONCATENATE("Too many shooters using Gun ",$B144," in ",F$165,"; "),"")</f>
        <v/>
      </c>
      <c r="R167" s="9" t="str">
        <f t="shared" ref="R167:R184" si="119">IF(G167=1,CONCATENATE("Too many shooters using Gun ",$B144," in ",G$165,"; "),"")</f>
        <v/>
      </c>
      <c r="S167" s="181" t="str">
        <f t="shared" ref="S167:S184" si="120">IF(I167=1,CONCATENATE("Too many shooters using Gun ",$B144," in ",I$165,"; "),"")</f>
        <v/>
      </c>
      <c r="T167" s="189" t="str">
        <f t="shared" ref="T167:T184" si="121">CONCATENATE(M167,N167,O167,P167,Q167,R167,S167,)</f>
        <v/>
      </c>
      <c r="AC167" s="27"/>
      <c r="AG167"/>
      <c r="AI167"/>
      <c r="AJ167"/>
      <c r="AK167"/>
      <c r="AM167"/>
      <c r="AN167" s="1"/>
      <c r="AO167" s="1"/>
      <c r="AP167" s="1"/>
      <c r="AQ167" s="1"/>
      <c r="AX167"/>
      <c r="AY167"/>
      <c r="AZ167"/>
      <c r="BA167"/>
      <c r="BD167" s="1"/>
      <c r="BE167" s="1"/>
      <c r="BN167"/>
      <c r="BO167"/>
    </row>
    <row r="168" spans="1:67" hidden="1" x14ac:dyDescent="0.2">
      <c r="B168" s="173" t="str">
        <f t="shared" ref="B168:B184" si="122">IF(D145&gt;B$166,1,"")</f>
        <v/>
      </c>
      <c r="C168" s="130" t="str">
        <f t="shared" si="110"/>
        <v/>
      </c>
      <c r="D168" s="130" t="str">
        <f t="shared" si="110"/>
        <v/>
      </c>
      <c r="E168" s="130" t="str">
        <f t="shared" si="110"/>
        <v/>
      </c>
      <c r="F168" s="130" t="str">
        <f t="shared" si="111"/>
        <v/>
      </c>
      <c r="G168" s="130" t="str">
        <f t="shared" si="112"/>
        <v/>
      </c>
      <c r="H168" s="130"/>
      <c r="I168" s="174" t="str">
        <f t="shared" si="113"/>
        <v/>
      </c>
      <c r="J168" s="289">
        <f t="shared" ref="J168:J184" si="123">SUM(B168:I168)</f>
        <v>0</v>
      </c>
      <c r="M168" s="180" t="str">
        <f t="shared" si="114"/>
        <v/>
      </c>
      <c r="N168" s="9" t="str">
        <f t="shared" si="115"/>
        <v/>
      </c>
      <c r="O168" s="9" t="str">
        <f t="shared" si="116"/>
        <v/>
      </c>
      <c r="P168" s="9" t="str">
        <f t="shared" si="117"/>
        <v/>
      </c>
      <c r="Q168" s="9" t="str">
        <f t="shared" si="118"/>
        <v/>
      </c>
      <c r="R168" s="9" t="str">
        <f t="shared" si="119"/>
        <v/>
      </c>
      <c r="S168" s="181" t="str">
        <f t="shared" si="120"/>
        <v/>
      </c>
      <c r="T168" s="189" t="str">
        <f t="shared" si="121"/>
        <v/>
      </c>
      <c r="AC168" s="27"/>
      <c r="AG168"/>
      <c r="AI168"/>
      <c r="AJ168"/>
      <c r="AK168"/>
      <c r="AM168"/>
      <c r="AN168" s="1"/>
      <c r="AO168" s="1"/>
      <c r="AP168" s="1"/>
      <c r="AQ168" s="1"/>
      <c r="AX168"/>
      <c r="AY168"/>
      <c r="AZ168"/>
      <c r="BA168"/>
      <c r="BD168" s="1"/>
      <c r="BE168" s="1"/>
      <c r="BN168"/>
      <c r="BO168"/>
    </row>
    <row r="169" spans="1:67" hidden="1" x14ac:dyDescent="0.2">
      <c r="B169" s="173" t="str">
        <f t="shared" si="122"/>
        <v/>
      </c>
      <c r="C169" s="130" t="str">
        <f t="shared" si="110"/>
        <v/>
      </c>
      <c r="D169" s="130" t="str">
        <f t="shared" si="110"/>
        <v/>
      </c>
      <c r="E169" s="130" t="str">
        <f t="shared" si="110"/>
        <v/>
      </c>
      <c r="F169" s="130" t="str">
        <f t="shared" si="111"/>
        <v/>
      </c>
      <c r="G169" s="130" t="str">
        <f t="shared" si="112"/>
        <v/>
      </c>
      <c r="H169" s="130"/>
      <c r="I169" s="174" t="str">
        <f t="shared" si="113"/>
        <v/>
      </c>
      <c r="J169" s="289">
        <f t="shared" si="123"/>
        <v>0</v>
      </c>
      <c r="M169" s="180" t="str">
        <f t="shared" si="114"/>
        <v/>
      </c>
      <c r="N169" s="9" t="str">
        <f t="shared" si="115"/>
        <v/>
      </c>
      <c r="O169" s="9" t="str">
        <f t="shared" si="116"/>
        <v/>
      </c>
      <c r="P169" s="9" t="str">
        <f t="shared" si="117"/>
        <v/>
      </c>
      <c r="Q169" s="9" t="str">
        <f t="shared" si="118"/>
        <v/>
      </c>
      <c r="R169" s="9" t="str">
        <f t="shared" si="119"/>
        <v/>
      </c>
      <c r="S169" s="181" t="str">
        <f t="shared" si="120"/>
        <v/>
      </c>
      <c r="T169" s="189" t="str">
        <f t="shared" si="121"/>
        <v/>
      </c>
      <c r="AC169" s="27"/>
      <c r="AG169"/>
      <c r="AI169"/>
      <c r="AJ169"/>
      <c r="AK169"/>
      <c r="AM169"/>
      <c r="AN169" s="1"/>
      <c r="AO169" s="1"/>
      <c r="AP169" s="1"/>
      <c r="AQ169" s="1"/>
      <c r="AX169"/>
      <c r="AY169"/>
      <c r="AZ169"/>
      <c r="BA169"/>
      <c r="BD169" s="1"/>
      <c r="BE169" s="1"/>
      <c r="BN169"/>
      <c r="BO169"/>
    </row>
    <row r="170" spans="1:67" hidden="1" x14ac:dyDescent="0.2">
      <c r="B170" s="173" t="str">
        <f t="shared" si="122"/>
        <v/>
      </c>
      <c r="C170" s="130" t="str">
        <f t="shared" si="110"/>
        <v/>
      </c>
      <c r="D170" s="130" t="str">
        <f t="shared" si="110"/>
        <v/>
      </c>
      <c r="E170" s="130" t="str">
        <f t="shared" si="110"/>
        <v/>
      </c>
      <c r="F170" s="130" t="str">
        <f t="shared" si="111"/>
        <v/>
      </c>
      <c r="G170" s="130" t="str">
        <f t="shared" si="112"/>
        <v/>
      </c>
      <c r="H170" s="130"/>
      <c r="I170" s="174" t="str">
        <f t="shared" si="113"/>
        <v/>
      </c>
      <c r="J170" s="289">
        <f t="shared" si="123"/>
        <v>0</v>
      </c>
      <c r="M170" s="180" t="str">
        <f t="shared" si="114"/>
        <v/>
      </c>
      <c r="N170" s="9" t="str">
        <f t="shared" si="115"/>
        <v/>
      </c>
      <c r="O170" s="9" t="str">
        <f t="shared" si="116"/>
        <v/>
      </c>
      <c r="P170" s="9" t="str">
        <f t="shared" si="117"/>
        <v/>
      </c>
      <c r="Q170" s="9" t="str">
        <f t="shared" si="118"/>
        <v/>
      </c>
      <c r="R170" s="9" t="str">
        <f t="shared" si="119"/>
        <v/>
      </c>
      <c r="S170" s="181" t="str">
        <f t="shared" si="120"/>
        <v/>
      </c>
      <c r="T170" s="189" t="str">
        <f t="shared" si="121"/>
        <v/>
      </c>
      <c r="AC170" s="27"/>
      <c r="AG170"/>
      <c r="AI170"/>
      <c r="AJ170"/>
      <c r="AK170"/>
      <c r="AM170"/>
      <c r="AN170" s="1"/>
      <c r="AO170" s="1"/>
      <c r="AP170" s="1"/>
      <c r="AQ170" s="1"/>
      <c r="AX170"/>
      <c r="AY170"/>
      <c r="AZ170"/>
      <c r="BA170"/>
      <c r="BD170" s="1"/>
      <c r="BE170" s="1"/>
      <c r="BN170"/>
      <c r="BO170"/>
    </row>
    <row r="171" spans="1:67" hidden="1" x14ac:dyDescent="0.2">
      <c r="B171" s="173" t="str">
        <f t="shared" si="122"/>
        <v/>
      </c>
      <c r="C171" s="130" t="str">
        <f t="shared" si="110"/>
        <v/>
      </c>
      <c r="D171" s="130" t="str">
        <f t="shared" si="110"/>
        <v/>
      </c>
      <c r="E171" s="130" t="str">
        <f t="shared" si="110"/>
        <v/>
      </c>
      <c r="F171" s="130" t="str">
        <f t="shared" si="111"/>
        <v/>
      </c>
      <c r="G171" s="130" t="str">
        <f t="shared" si="112"/>
        <v/>
      </c>
      <c r="H171" s="130"/>
      <c r="I171" s="174" t="str">
        <f t="shared" si="113"/>
        <v/>
      </c>
      <c r="J171" s="289">
        <f t="shared" si="123"/>
        <v>0</v>
      </c>
      <c r="M171" s="180" t="str">
        <f t="shared" si="114"/>
        <v/>
      </c>
      <c r="N171" s="9" t="str">
        <f t="shared" si="115"/>
        <v/>
      </c>
      <c r="O171" s="9" t="str">
        <f t="shared" si="116"/>
        <v/>
      </c>
      <c r="P171" s="9" t="str">
        <f t="shared" si="117"/>
        <v/>
      </c>
      <c r="Q171" s="9" t="str">
        <f t="shared" si="118"/>
        <v/>
      </c>
      <c r="R171" s="9" t="str">
        <f t="shared" si="119"/>
        <v/>
      </c>
      <c r="S171" s="181" t="str">
        <f t="shared" si="120"/>
        <v/>
      </c>
      <c r="T171" s="189" t="str">
        <f t="shared" si="121"/>
        <v/>
      </c>
      <c r="AC171" s="27"/>
      <c r="AG171"/>
      <c r="AI171"/>
      <c r="AJ171"/>
      <c r="AK171"/>
      <c r="AM171"/>
      <c r="AN171" s="1"/>
      <c r="AO171" s="1"/>
      <c r="AP171" s="1"/>
      <c r="AQ171" s="1"/>
      <c r="AX171"/>
      <c r="AY171"/>
      <c r="AZ171"/>
      <c r="BA171"/>
      <c r="BD171" s="1"/>
      <c r="BE171" s="1"/>
      <c r="BN171"/>
      <c r="BO171"/>
    </row>
    <row r="172" spans="1:67" hidden="1" x14ac:dyDescent="0.2">
      <c r="B172" s="173" t="str">
        <f t="shared" si="122"/>
        <v/>
      </c>
      <c r="C172" s="130" t="str">
        <f t="shared" si="110"/>
        <v/>
      </c>
      <c r="D172" s="130" t="str">
        <f t="shared" si="110"/>
        <v/>
      </c>
      <c r="E172" s="130" t="str">
        <f t="shared" si="110"/>
        <v/>
      </c>
      <c r="F172" s="130" t="str">
        <f t="shared" si="111"/>
        <v/>
      </c>
      <c r="G172" s="130" t="str">
        <f t="shared" si="112"/>
        <v/>
      </c>
      <c r="H172" s="130"/>
      <c r="I172" s="174" t="str">
        <f t="shared" si="113"/>
        <v/>
      </c>
      <c r="J172" s="289">
        <f t="shared" si="123"/>
        <v>0</v>
      </c>
      <c r="M172" s="180" t="str">
        <f t="shared" si="114"/>
        <v/>
      </c>
      <c r="N172" s="9" t="str">
        <f t="shared" si="115"/>
        <v/>
      </c>
      <c r="O172" s="9" t="str">
        <f t="shared" si="116"/>
        <v/>
      </c>
      <c r="P172" s="9" t="str">
        <f t="shared" si="117"/>
        <v/>
      </c>
      <c r="Q172" s="9" t="str">
        <f t="shared" si="118"/>
        <v/>
      </c>
      <c r="R172" s="9" t="str">
        <f t="shared" si="119"/>
        <v/>
      </c>
      <c r="S172" s="181" t="str">
        <f t="shared" si="120"/>
        <v/>
      </c>
      <c r="T172" s="189" t="str">
        <f t="shared" si="121"/>
        <v/>
      </c>
      <c r="AC172" s="27"/>
      <c r="AG172"/>
      <c r="AI172"/>
      <c r="AJ172"/>
      <c r="AK172"/>
      <c r="AM172"/>
      <c r="AN172" s="1"/>
      <c r="AO172" s="1"/>
      <c r="AP172" s="1"/>
      <c r="AQ172" s="1"/>
      <c r="AX172"/>
      <c r="AY172"/>
      <c r="AZ172"/>
      <c r="BA172"/>
      <c r="BD172" s="1"/>
      <c r="BE172" s="1"/>
      <c r="BN172"/>
      <c r="BO172"/>
    </row>
    <row r="173" spans="1:67" hidden="1" x14ac:dyDescent="0.2">
      <c r="B173" s="173" t="str">
        <f t="shared" si="122"/>
        <v/>
      </c>
      <c r="C173" s="130" t="str">
        <f t="shared" si="110"/>
        <v/>
      </c>
      <c r="D173" s="130" t="str">
        <f t="shared" si="110"/>
        <v/>
      </c>
      <c r="E173" s="130" t="str">
        <f t="shared" si="110"/>
        <v/>
      </c>
      <c r="F173" s="130" t="str">
        <f t="shared" si="111"/>
        <v/>
      </c>
      <c r="G173" s="130" t="str">
        <f t="shared" si="112"/>
        <v/>
      </c>
      <c r="H173" s="130"/>
      <c r="I173" s="174" t="str">
        <f t="shared" si="113"/>
        <v/>
      </c>
      <c r="J173" s="289">
        <f t="shared" si="123"/>
        <v>0</v>
      </c>
      <c r="M173" s="180" t="str">
        <f t="shared" si="114"/>
        <v/>
      </c>
      <c r="N173" s="9" t="str">
        <f t="shared" si="115"/>
        <v/>
      </c>
      <c r="O173" s="9" t="str">
        <f t="shared" si="116"/>
        <v/>
      </c>
      <c r="P173" s="9" t="str">
        <f t="shared" si="117"/>
        <v/>
      </c>
      <c r="Q173" s="9" t="str">
        <f t="shared" si="118"/>
        <v/>
      </c>
      <c r="R173" s="9" t="str">
        <f t="shared" si="119"/>
        <v/>
      </c>
      <c r="S173" s="181" t="str">
        <f t="shared" si="120"/>
        <v/>
      </c>
      <c r="T173" s="189" t="str">
        <f t="shared" si="121"/>
        <v/>
      </c>
      <c r="AC173" s="27"/>
      <c r="AG173"/>
      <c r="AI173"/>
      <c r="AJ173"/>
      <c r="AK173"/>
      <c r="AM173"/>
      <c r="AN173" s="1"/>
      <c r="AO173" s="1"/>
      <c r="AP173" s="1"/>
      <c r="AQ173" s="1"/>
      <c r="AX173"/>
      <c r="AY173"/>
      <c r="AZ173"/>
      <c r="BA173"/>
      <c r="BD173" s="1"/>
      <c r="BE173" s="1"/>
      <c r="BN173"/>
      <c r="BO173"/>
    </row>
    <row r="174" spans="1:67" hidden="1" x14ac:dyDescent="0.2">
      <c r="B174" s="173" t="str">
        <f t="shared" si="122"/>
        <v/>
      </c>
      <c r="C174" s="130" t="str">
        <f t="shared" si="110"/>
        <v/>
      </c>
      <c r="D174" s="130" t="str">
        <f t="shared" si="110"/>
        <v/>
      </c>
      <c r="E174" s="130" t="str">
        <f t="shared" si="110"/>
        <v/>
      </c>
      <c r="F174" s="130" t="str">
        <f t="shared" si="111"/>
        <v/>
      </c>
      <c r="G174" s="130" t="str">
        <f t="shared" si="112"/>
        <v/>
      </c>
      <c r="H174" s="130"/>
      <c r="I174" s="174" t="str">
        <f t="shared" si="113"/>
        <v/>
      </c>
      <c r="J174" s="289">
        <f t="shared" si="123"/>
        <v>0</v>
      </c>
      <c r="M174" s="180" t="str">
        <f t="shared" si="114"/>
        <v/>
      </c>
      <c r="N174" s="9" t="str">
        <f t="shared" si="115"/>
        <v/>
      </c>
      <c r="O174" s="9" t="str">
        <f t="shared" si="116"/>
        <v/>
      </c>
      <c r="P174" s="9" t="str">
        <f t="shared" si="117"/>
        <v/>
      </c>
      <c r="Q174" s="9" t="str">
        <f t="shared" si="118"/>
        <v/>
      </c>
      <c r="R174" s="9" t="str">
        <f t="shared" si="119"/>
        <v/>
      </c>
      <c r="S174" s="181" t="str">
        <f t="shared" si="120"/>
        <v/>
      </c>
      <c r="T174" s="189" t="str">
        <f t="shared" si="121"/>
        <v/>
      </c>
      <c r="AC174" s="27"/>
      <c r="AG174"/>
      <c r="AI174"/>
      <c r="AJ174"/>
      <c r="AK174"/>
      <c r="AM174"/>
      <c r="AN174" s="1"/>
      <c r="AO174" s="1"/>
      <c r="AP174" s="1"/>
      <c r="AQ174" s="1"/>
      <c r="AX174"/>
      <c r="AY174"/>
      <c r="AZ174"/>
      <c r="BA174"/>
      <c r="BD174" s="1"/>
      <c r="BE174" s="1"/>
      <c r="BN174"/>
      <c r="BO174"/>
    </row>
    <row r="175" spans="1:67" hidden="1" x14ac:dyDescent="0.2">
      <c r="B175" s="173" t="str">
        <f t="shared" si="122"/>
        <v/>
      </c>
      <c r="C175" s="130" t="str">
        <f t="shared" si="110"/>
        <v/>
      </c>
      <c r="D175" s="130" t="str">
        <f t="shared" si="110"/>
        <v/>
      </c>
      <c r="E175" s="130" t="str">
        <f t="shared" si="110"/>
        <v/>
      </c>
      <c r="F175" s="130" t="str">
        <f t="shared" si="111"/>
        <v/>
      </c>
      <c r="G175" s="130" t="str">
        <f t="shared" si="112"/>
        <v/>
      </c>
      <c r="H175" s="130"/>
      <c r="I175" s="174" t="str">
        <f t="shared" si="113"/>
        <v/>
      </c>
      <c r="J175" s="289">
        <f t="shared" si="123"/>
        <v>0</v>
      </c>
      <c r="M175" s="180" t="str">
        <f t="shared" si="114"/>
        <v/>
      </c>
      <c r="N175" s="9" t="str">
        <f t="shared" si="115"/>
        <v/>
      </c>
      <c r="O175" s="9" t="str">
        <f t="shared" si="116"/>
        <v/>
      </c>
      <c r="P175" s="9" t="str">
        <f t="shared" si="117"/>
        <v/>
      </c>
      <c r="Q175" s="9" t="str">
        <f t="shared" si="118"/>
        <v/>
      </c>
      <c r="R175" s="9" t="str">
        <f t="shared" si="119"/>
        <v/>
      </c>
      <c r="S175" s="181" t="str">
        <f t="shared" si="120"/>
        <v/>
      </c>
      <c r="T175" s="189" t="str">
        <f t="shared" si="121"/>
        <v/>
      </c>
      <c r="AC175" s="27"/>
      <c r="AG175"/>
      <c r="AI175"/>
      <c r="AJ175"/>
      <c r="AK175"/>
      <c r="AM175"/>
      <c r="AN175" s="1"/>
      <c r="AO175" s="1"/>
      <c r="AP175" s="1"/>
      <c r="AQ175" s="1"/>
      <c r="AX175"/>
      <c r="AY175"/>
      <c r="AZ175"/>
      <c r="BA175"/>
      <c r="BD175" s="1"/>
      <c r="BE175" s="1"/>
      <c r="BN175"/>
      <c r="BO175"/>
    </row>
    <row r="176" spans="1:67" hidden="1" x14ac:dyDescent="0.2">
      <c r="B176" s="173" t="str">
        <f t="shared" si="122"/>
        <v/>
      </c>
      <c r="C176" s="130" t="str">
        <f t="shared" si="110"/>
        <v/>
      </c>
      <c r="D176" s="130" t="str">
        <f t="shared" si="110"/>
        <v/>
      </c>
      <c r="E176" s="130" t="str">
        <f t="shared" si="110"/>
        <v/>
      </c>
      <c r="F176" s="130" t="str">
        <f t="shared" si="111"/>
        <v/>
      </c>
      <c r="G176" s="130" t="str">
        <f t="shared" si="112"/>
        <v/>
      </c>
      <c r="H176" s="130"/>
      <c r="I176" s="174" t="str">
        <f t="shared" si="113"/>
        <v/>
      </c>
      <c r="J176" s="289">
        <f t="shared" si="123"/>
        <v>0</v>
      </c>
      <c r="M176" s="180" t="str">
        <f t="shared" si="114"/>
        <v/>
      </c>
      <c r="N176" s="9" t="str">
        <f t="shared" si="115"/>
        <v/>
      </c>
      <c r="O176" s="9" t="str">
        <f t="shared" si="116"/>
        <v/>
      </c>
      <c r="P176" s="9" t="str">
        <f t="shared" si="117"/>
        <v/>
      </c>
      <c r="Q176" s="9" t="str">
        <f t="shared" si="118"/>
        <v/>
      </c>
      <c r="R176" s="9" t="str">
        <f t="shared" si="119"/>
        <v/>
      </c>
      <c r="S176" s="181" t="str">
        <f t="shared" si="120"/>
        <v/>
      </c>
      <c r="T176" s="189" t="str">
        <f t="shared" si="121"/>
        <v/>
      </c>
      <c r="AC176" s="27"/>
      <c r="AG176"/>
      <c r="AI176"/>
      <c r="AJ176"/>
      <c r="AK176"/>
      <c r="AM176"/>
      <c r="AN176" s="1"/>
      <c r="AO176" s="1"/>
      <c r="AP176" s="1"/>
      <c r="AQ176" s="1"/>
      <c r="AX176"/>
      <c r="AY176"/>
      <c r="AZ176"/>
      <c r="BA176"/>
      <c r="BD176" s="1"/>
      <c r="BE176" s="1"/>
      <c r="BN176"/>
      <c r="BO176"/>
    </row>
    <row r="177" spans="2:57" customFormat="1" hidden="1" x14ac:dyDescent="0.2">
      <c r="B177" s="173" t="str">
        <f t="shared" si="122"/>
        <v/>
      </c>
      <c r="C177" s="130" t="str">
        <f t="shared" si="110"/>
        <v/>
      </c>
      <c r="D177" s="130" t="str">
        <f t="shared" si="110"/>
        <v/>
      </c>
      <c r="E177" s="130" t="str">
        <f t="shared" si="110"/>
        <v/>
      </c>
      <c r="F177" s="130" t="str">
        <f t="shared" si="111"/>
        <v/>
      </c>
      <c r="G177" s="130" t="str">
        <f t="shared" si="112"/>
        <v/>
      </c>
      <c r="H177" s="130"/>
      <c r="I177" s="174" t="str">
        <f t="shared" si="113"/>
        <v/>
      </c>
      <c r="J177" s="289">
        <f t="shared" si="123"/>
        <v>0</v>
      </c>
      <c r="M177" s="180" t="str">
        <f t="shared" si="114"/>
        <v/>
      </c>
      <c r="N177" s="9" t="str">
        <f t="shared" si="115"/>
        <v/>
      </c>
      <c r="O177" s="9" t="str">
        <f t="shared" si="116"/>
        <v/>
      </c>
      <c r="P177" s="9" t="str">
        <f t="shared" si="117"/>
        <v/>
      </c>
      <c r="Q177" s="9" t="str">
        <f t="shared" si="118"/>
        <v/>
      </c>
      <c r="R177" s="9" t="str">
        <f t="shared" si="119"/>
        <v/>
      </c>
      <c r="S177" s="181" t="str">
        <f t="shared" si="120"/>
        <v/>
      </c>
      <c r="T177" s="189" t="str">
        <f t="shared" si="121"/>
        <v/>
      </c>
      <c r="AC177" s="27"/>
      <c r="AN177" s="1"/>
      <c r="AO177" s="1"/>
      <c r="AP177" s="1"/>
      <c r="AQ177" s="1"/>
      <c r="BD177" s="1"/>
      <c r="BE177" s="1"/>
    </row>
    <row r="178" spans="2:57" customFormat="1" hidden="1" x14ac:dyDescent="0.2">
      <c r="B178" s="173" t="str">
        <f t="shared" si="122"/>
        <v/>
      </c>
      <c r="C178" s="130" t="str">
        <f t="shared" si="110"/>
        <v/>
      </c>
      <c r="D178" s="130" t="str">
        <f t="shared" si="110"/>
        <v/>
      </c>
      <c r="E178" s="130" t="str">
        <f t="shared" si="110"/>
        <v/>
      </c>
      <c r="F178" s="130" t="str">
        <f t="shared" si="111"/>
        <v/>
      </c>
      <c r="G178" s="130" t="str">
        <f t="shared" si="112"/>
        <v/>
      </c>
      <c r="H178" s="130"/>
      <c r="I178" s="174" t="str">
        <f t="shared" si="113"/>
        <v/>
      </c>
      <c r="J178" s="289">
        <f t="shared" si="123"/>
        <v>0</v>
      </c>
      <c r="M178" s="180" t="str">
        <f t="shared" si="114"/>
        <v/>
      </c>
      <c r="N178" s="9" t="str">
        <f t="shared" si="115"/>
        <v/>
      </c>
      <c r="O178" s="9" t="str">
        <f t="shared" si="116"/>
        <v/>
      </c>
      <c r="P178" s="9" t="str">
        <f t="shared" si="117"/>
        <v/>
      </c>
      <c r="Q178" s="9" t="str">
        <f t="shared" si="118"/>
        <v/>
      </c>
      <c r="R178" s="9" t="str">
        <f t="shared" si="119"/>
        <v/>
      </c>
      <c r="S178" s="181" t="str">
        <f t="shared" si="120"/>
        <v/>
      </c>
      <c r="T178" s="189" t="str">
        <f t="shared" si="121"/>
        <v/>
      </c>
      <c r="AC178" s="27"/>
      <c r="AN178" s="1"/>
      <c r="AO178" s="1"/>
      <c r="AP178" s="1"/>
      <c r="AQ178" s="1"/>
      <c r="BD178" s="1"/>
      <c r="BE178" s="1"/>
    </row>
    <row r="179" spans="2:57" customFormat="1" hidden="1" x14ac:dyDescent="0.2">
      <c r="B179" s="173" t="str">
        <f t="shared" si="122"/>
        <v/>
      </c>
      <c r="C179" s="130" t="str">
        <f t="shared" si="110"/>
        <v/>
      </c>
      <c r="D179" s="130" t="str">
        <f t="shared" si="110"/>
        <v/>
      </c>
      <c r="E179" s="130" t="str">
        <f t="shared" si="110"/>
        <v/>
      </c>
      <c r="F179" s="130" t="str">
        <f t="shared" si="111"/>
        <v/>
      </c>
      <c r="G179" s="130" t="str">
        <f t="shared" si="112"/>
        <v/>
      </c>
      <c r="H179" s="130"/>
      <c r="I179" s="174" t="str">
        <f t="shared" si="113"/>
        <v/>
      </c>
      <c r="J179" s="289">
        <f t="shared" si="123"/>
        <v>0</v>
      </c>
      <c r="M179" s="180" t="str">
        <f t="shared" si="114"/>
        <v/>
      </c>
      <c r="N179" s="9" t="str">
        <f t="shared" si="115"/>
        <v/>
      </c>
      <c r="O179" s="9" t="str">
        <f t="shared" si="116"/>
        <v/>
      </c>
      <c r="P179" s="9" t="str">
        <f t="shared" si="117"/>
        <v/>
      </c>
      <c r="Q179" s="9" t="str">
        <f t="shared" si="118"/>
        <v/>
      </c>
      <c r="R179" s="9" t="str">
        <f t="shared" si="119"/>
        <v/>
      </c>
      <c r="S179" s="181" t="str">
        <f t="shared" si="120"/>
        <v/>
      </c>
      <c r="T179" s="189" t="str">
        <f t="shared" si="121"/>
        <v/>
      </c>
      <c r="AC179" s="27"/>
      <c r="AN179" s="1"/>
      <c r="AO179" s="1"/>
      <c r="AP179" s="1"/>
      <c r="AQ179" s="1"/>
      <c r="BD179" s="1"/>
      <c r="BE179" s="1"/>
    </row>
    <row r="180" spans="2:57" customFormat="1" hidden="1" x14ac:dyDescent="0.2">
      <c r="B180" s="173" t="str">
        <f t="shared" si="122"/>
        <v/>
      </c>
      <c r="C180" s="130" t="str">
        <f t="shared" si="110"/>
        <v/>
      </c>
      <c r="D180" s="130" t="str">
        <f t="shared" si="110"/>
        <v/>
      </c>
      <c r="E180" s="130" t="str">
        <f t="shared" si="110"/>
        <v/>
      </c>
      <c r="F180" s="130" t="str">
        <f t="shared" si="111"/>
        <v/>
      </c>
      <c r="G180" s="130" t="str">
        <f t="shared" si="112"/>
        <v/>
      </c>
      <c r="H180" s="130"/>
      <c r="I180" s="174" t="str">
        <f t="shared" si="113"/>
        <v/>
      </c>
      <c r="J180" s="289">
        <f t="shared" si="123"/>
        <v>0</v>
      </c>
      <c r="M180" s="180" t="str">
        <f t="shared" si="114"/>
        <v/>
      </c>
      <c r="N180" s="9" t="str">
        <f t="shared" si="115"/>
        <v/>
      </c>
      <c r="O180" s="9" t="str">
        <f t="shared" si="116"/>
        <v/>
      </c>
      <c r="P180" s="9" t="str">
        <f t="shared" si="117"/>
        <v/>
      </c>
      <c r="Q180" s="9" t="str">
        <f t="shared" si="118"/>
        <v/>
      </c>
      <c r="R180" s="9" t="str">
        <f t="shared" si="119"/>
        <v/>
      </c>
      <c r="S180" s="181" t="str">
        <f t="shared" si="120"/>
        <v/>
      </c>
      <c r="T180" s="189" t="str">
        <f t="shared" si="121"/>
        <v/>
      </c>
      <c r="AC180" s="27"/>
      <c r="AN180" s="1"/>
      <c r="AO180" s="1"/>
      <c r="AP180" s="1"/>
      <c r="AQ180" s="1"/>
      <c r="BD180" s="1"/>
      <c r="BE180" s="1"/>
    </row>
    <row r="181" spans="2:57" customFormat="1" hidden="1" x14ac:dyDescent="0.2">
      <c r="B181" s="173" t="str">
        <f t="shared" si="122"/>
        <v/>
      </c>
      <c r="C181" s="130" t="str">
        <f t="shared" si="110"/>
        <v/>
      </c>
      <c r="D181" s="130" t="str">
        <f t="shared" si="110"/>
        <v/>
      </c>
      <c r="E181" s="130" t="str">
        <f t="shared" si="110"/>
        <v/>
      </c>
      <c r="F181" s="130" t="str">
        <f t="shared" si="111"/>
        <v/>
      </c>
      <c r="G181" s="130" t="str">
        <f t="shared" si="112"/>
        <v/>
      </c>
      <c r="H181" s="130"/>
      <c r="I181" s="174" t="str">
        <f t="shared" si="113"/>
        <v/>
      </c>
      <c r="J181" s="289">
        <f t="shared" si="123"/>
        <v>0</v>
      </c>
      <c r="M181" s="180" t="str">
        <f t="shared" si="114"/>
        <v/>
      </c>
      <c r="N181" s="9" t="str">
        <f t="shared" si="115"/>
        <v/>
      </c>
      <c r="O181" s="9" t="str">
        <f t="shared" si="116"/>
        <v/>
      </c>
      <c r="P181" s="9" t="str">
        <f t="shared" si="117"/>
        <v/>
      </c>
      <c r="Q181" s="9" t="str">
        <f t="shared" si="118"/>
        <v/>
      </c>
      <c r="R181" s="9" t="str">
        <f t="shared" si="119"/>
        <v/>
      </c>
      <c r="S181" s="181" t="str">
        <f t="shared" si="120"/>
        <v/>
      </c>
      <c r="T181" s="189" t="str">
        <f t="shared" si="121"/>
        <v/>
      </c>
      <c r="AC181" s="27"/>
      <c r="AN181" s="1"/>
      <c r="AO181" s="1"/>
      <c r="AP181" s="1"/>
      <c r="AQ181" s="1"/>
      <c r="BD181" s="1"/>
      <c r="BE181" s="1"/>
    </row>
    <row r="182" spans="2:57" customFormat="1" hidden="1" x14ac:dyDescent="0.2">
      <c r="B182" s="173" t="str">
        <f t="shared" si="122"/>
        <v/>
      </c>
      <c r="C182" s="130" t="str">
        <f t="shared" si="110"/>
        <v/>
      </c>
      <c r="D182" s="130" t="str">
        <f t="shared" si="110"/>
        <v/>
      </c>
      <c r="E182" s="130" t="str">
        <f t="shared" si="110"/>
        <v/>
      </c>
      <c r="F182" s="130" t="str">
        <f t="shared" si="111"/>
        <v/>
      </c>
      <c r="G182" s="130" t="str">
        <f t="shared" si="112"/>
        <v/>
      </c>
      <c r="H182" s="130"/>
      <c r="I182" s="174" t="str">
        <f t="shared" si="113"/>
        <v/>
      </c>
      <c r="J182" s="289">
        <f t="shared" si="123"/>
        <v>0</v>
      </c>
      <c r="M182" s="180" t="str">
        <f t="shared" si="114"/>
        <v/>
      </c>
      <c r="N182" s="9" t="str">
        <f t="shared" si="115"/>
        <v/>
      </c>
      <c r="O182" s="9" t="str">
        <f t="shared" si="116"/>
        <v/>
      </c>
      <c r="P182" s="9" t="str">
        <f t="shared" si="117"/>
        <v/>
      </c>
      <c r="Q182" s="9" t="str">
        <f t="shared" si="118"/>
        <v/>
      </c>
      <c r="R182" s="9" t="str">
        <f t="shared" si="119"/>
        <v/>
      </c>
      <c r="S182" s="181" t="str">
        <f t="shared" si="120"/>
        <v/>
      </c>
      <c r="T182" s="189" t="str">
        <f t="shared" si="121"/>
        <v/>
      </c>
      <c r="AC182" s="27"/>
      <c r="AN182" s="1"/>
      <c r="AO182" s="1"/>
      <c r="AP182" s="1"/>
      <c r="AQ182" s="1"/>
      <c r="BD182" s="1"/>
      <c r="BE182" s="1"/>
    </row>
    <row r="183" spans="2:57" customFormat="1" hidden="1" x14ac:dyDescent="0.2">
      <c r="B183" s="173" t="str">
        <f t="shared" si="122"/>
        <v/>
      </c>
      <c r="C183" s="130" t="str">
        <f t="shared" ref="C183:E184" si="124">IF(E160&gt;C$166,1,"")</f>
        <v/>
      </c>
      <c r="D183" s="130" t="str">
        <f t="shared" si="124"/>
        <v/>
      </c>
      <c r="E183" s="130" t="str">
        <f t="shared" si="124"/>
        <v/>
      </c>
      <c r="F183" s="130" t="str">
        <f t="shared" si="111"/>
        <v/>
      </c>
      <c r="G183" s="130" t="str">
        <f t="shared" si="112"/>
        <v/>
      </c>
      <c r="H183" s="130"/>
      <c r="I183" s="174" t="str">
        <f t="shared" si="113"/>
        <v/>
      </c>
      <c r="J183" s="289">
        <f t="shared" si="123"/>
        <v>0</v>
      </c>
      <c r="M183" s="180" t="str">
        <f t="shared" si="114"/>
        <v/>
      </c>
      <c r="N183" s="9" t="str">
        <f t="shared" si="115"/>
        <v/>
      </c>
      <c r="O183" s="9" t="str">
        <f t="shared" si="116"/>
        <v/>
      </c>
      <c r="P183" s="9" t="str">
        <f t="shared" si="117"/>
        <v/>
      </c>
      <c r="Q183" s="9" t="str">
        <f t="shared" si="118"/>
        <v/>
      </c>
      <c r="R183" s="9" t="str">
        <f t="shared" si="119"/>
        <v/>
      </c>
      <c r="S183" s="181" t="str">
        <f t="shared" si="120"/>
        <v/>
      </c>
      <c r="T183" s="189" t="str">
        <f t="shared" si="121"/>
        <v/>
      </c>
      <c r="AC183" s="27"/>
      <c r="AN183" s="1"/>
      <c r="AO183" s="1"/>
      <c r="AP183" s="1"/>
      <c r="AQ183" s="1"/>
      <c r="BD183" s="1"/>
      <c r="BE183" s="1"/>
    </row>
    <row r="184" spans="2:57" customFormat="1" hidden="1" x14ac:dyDescent="0.2">
      <c r="B184" s="175" t="str">
        <f t="shared" si="122"/>
        <v/>
      </c>
      <c r="C184" s="176" t="str">
        <f t="shared" si="124"/>
        <v/>
      </c>
      <c r="D184" s="176" t="str">
        <f t="shared" si="124"/>
        <v/>
      </c>
      <c r="E184" s="176" t="str">
        <f t="shared" si="124"/>
        <v/>
      </c>
      <c r="F184" s="176" t="str">
        <f t="shared" si="111"/>
        <v/>
      </c>
      <c r="G184" s="176" t="str">
        <f t="shared" si="112"/>
        <v/>
      </c>
      <c r="H184" s="176"/>
      <c r="I184" s="177" t="str">
        <f t="shared" si="113"/>
        <v/>
      </c>
      <c r="J184" s="290">
        <f t="shared" si="123"/>
        <v>0</v>
      </c>
      <c r="M184" s="182" t="str">
        <f t="shared" si="114"/>
        <v/>
      </c>
      <c r="N184" s="183" t="str">
        <f t="shared" si="115"/>
        <v/>
      </c>
      <c r="O184" s="183" t="str">
        <f t="shared" si="116"/>
        <v/>
      </c>
      <c r="P184" s="183" t="str">
        <f t="shared" si="117"/>
        <v/>
      </c>
      <c r="Q184" s="183" t="str">
        <f t="shared" si="118"/>
        <v/>
      </c>
      <c r="R184" s="183" t="str">
        <f t="shared" si="119"/>
        <v/>
      </c>
      <c r="S184" s="184" t="str">
        <f t="shared" si="120"/>
        <v/>
      </c>
      <c r="T184" s="189" t="str">
        <f t="shared" si="121"/>
        <v/>
      </c>
      <c r="AC184" s="27"/>
      <c r="AN184" s="1"/>
      <c r="AO184" s="1"/>
      <c r="AP184" s="1"/>
      <c r="AQ184" s="1"/>
      <c r="BD184" s="1"/>
      <c r="BE184" s="1"/>
    </row>
    <row r="185" spans="2:57" customFormat="1" ht="13.5" hidden="1" thickBot="1" x14ac:dyDescent="0.25">
      <c r="J185" s="285">
        <f>SUM(J167:J184)</f>
        <v>0</v>
      </c>
      <c r="AC185" s="27"/>
      <c r="AN185" s="1"/>
      <c r="AO185" s="1"/>
      <c r="AP185" s="1"/>
      <c r="AQ185" s="1"/>
      <c r="BD185" s="1"/>
      <c r="BE185" s="1"/>
    </row>
    <row r="186" spans="2:57" customFormat="1" hidden="1" x14ac:dyDescent="0.2">
      <c r="S186" s="185" t="s">
        <v>441</v>
      </c>
      <c r="T186" s="189" t="str">
        <f>CONCATENATE(T167,T168,T169,T170,T171,T172,T173,T174,T175,T176,T177,T178,T179,T180,T181,T182,T183,T184,)</f>
        <v/>
      </c>
      <c r="AC186" s="27"/>
      <c r="AN186" s="1"/>
      <c r="AO186" s="1"/>
      <c r="AP186" s="1"/>
      <c r="AQ186" s="1"/>
      <c r="BD186" s="1"/>
      <c r="BE186" s="1"/>
    </row>
    <row r="187" spans="2:57" customFormat="1" hidden="1" x14ac:dyDescent="0.2">
      <c r="B187" s="226" t="s">
        <v>458</v>
      </c>
      <c r="C187" s="227"/>
      <c r="D187" s="227"/>
      <c r="E187" s="227"/>
      <c r="F187" s="228"/>
      <c r="AC187" s="27"/>
      <c r="AN187" s="1"/>
      <c r="AO187" s="1"/>
      <c r="AP187" s="1"/>
      <c r="AQ187" s="1"/>
      <c r="BD187" s="1"/>
      <c r="BE187" s="1"/>
    </row>
    <row r="188" spans="2:57" customFormat="1" hidden="1" x14ac:dyDescent="0.2">
      <c r="B188" s="229" t="s">
        <v>436</v>
      </c>
      <c r="C188" s="9"/>
      <c r="D188" s="9"/>
      <c r="E188" s="179" t="s">
        <v>12</v>
      </c>
      <c r="F188" s="181"/>
      <c r="AC188" s="27"/>
      <c r="AN188" s="1"/>
      <c r="AO188" s="1"/>
      <c r="AP188" s="1"/>
      <c r="AQ188" s="1"/>
      <c r="BD188" s="1"/>
      <c r="BE188" s="1"/>
    </row>
    <row r="189" spans="2:57" customFormat="1" hidden="1" x14ac:dyDescent="0.2">
      <c r="B189" s="229">
        <v>1</v>
      </c>
      <c r="C189" s="9"/>
      <c r="D189" s="9"/>
      <c r="E189" s="190" t="str">
        <f t="shared" ref="E189:E206" si="125">IF(AND(E144&gt;0,(SUM(D144,F144:J144)&gt;0)),1,"")</f>
        <v/>
      </c>
      <c r="F189" s="230" t="str">
        <f>IF(E189=1,CONCATENATE(" Gun ",$B189," identified both as Pistol and Rifle! "),"")</f>
        <v/>
      </c>
      <c r="AC189" s="27"/>
      <c r="AN189" s="1"/>
      <c r="AO189" s="1"/>
      <c r="AP189" s="1"/>
      <c r="AQ189" s="1"/>
      <c r="BD189" s="1"/>
      <c r="BE189" s="1"/>
    </row>
    <row r="190" spans="2:57" customFormat="1" hidden="1" x14ac:dyDescent="0.2">
      <c r="B190" s="229">
        <v>2</v>
      </c>
      <c r="C190" s="9"/>
      <c r="D190" s="9"/>
      <c r="E190" s="190" t="str">
        <f t="shared" si="125"/>
        <v/>
      </c>
      <c r="F190" s="230" t="str">
        <f t="shared" ref="F190:F205" si="126">IF(E190=1,CONCATENATE(" Gun ",$B190," identified both as Pistol and Rifle! "),"")</f>
        <v/>
      </c>
      <c r="AC190" s="27"/>
      <c r="AN190" s="1"/>
      <c r="AO190" s="1"/>
      <c r="AP190" s="1"/>
      <c r="AQ190" s="1"/>
      <c r="BD190" s="1"/>
      <c r="BE190" s="1"/>
    </row>
    <row r="191" spans="2:57" customFormat="1" hidden="1" x14ac:dyDescent="0.2">
      <c r="B191" s="229">
        <v>3</v>
      </c>
      <c r="C191" s="9"/>
      <c r="D191" s="9"/>
      <c r="E191" s="190" t="str">
        <f t="shared" si="125"/>
        <v/>
      </c>
      <c r="F191" s="230" t="str">
        <f t="shared" si="126"/>
        <v/>
      </c>
      <c r="AC191" s="27"/>
      <c r="AN191" s="1"/>
      <c r="AO191" s="1"/>
      <c r="AP191" s="1"/>
      <c r="AQ191" s="1"/>
      <c r="BD191" s="1"/>
      <c r="BE191" s="1"/>
    </row>
    <row r="192" spans="2:57" customFormat="1" hidden="1" x14ac:dyDescent="0.2">
      <c r="B192" s="229">
        <v>4</v>
      </c>
      <c r="C192" s="9"/>
      <c r="D192" s="9"/>
      <c r="E192" s="190" t="str">
        <f t="shared" si="125"/>
        <v/>
      </c>
      <c r="F192" s="230" t="str">
        <f t="shared" si="126"/>
        <v/>
      </c>
      <c r="AC192" s="27"/>
      <c r="AN192" s="1"/>
      <c r="AO192" s="1"/>
      <c r="AP192" s="1"/>
      <c r="AQ192" s="1"/>
      <c r="BD192" s="1"/>
      <c r="BE192" s="1"/>
    </row>
    <row r="193" spans="2:57" customFormat="1" hidden="1" x14ac:dyDescent="0.2">
      <c r="B193" s="229">
        <v>5</v>
      </c>
      <c r="C193" s="9"/>
      <c r="D193" s="9"/>
      <c r="E193" s="190" t="str">
        <f t="shared" si="125"/>
        <v/>
      </c>
      <c r="F193" s="230" t="str">
        <f t="shared" si="126"/>
        <v/>
      </c>
      <c r="AC193" s="27"/>
      <c r="AN193" s="1"/>
      <c r="AO193" s="1"/>
      <c r="AP193" s="1"/>
      <c r="AQ193" s="1"/>
      <c r="BD193" s="1"/>
      <c r="BE193" s="1"/>
    </row>
    <row r="194" spans="2:57" customFormat="1" hidden="1" x14ac:dyDescent="0.2">
      <c r="B194" s="229">
        <v>6</v>
      </c>
      <c r="C194" s="9"/>
      <c r="D194" s="9"/>
      <c r="E194" s="190" t="str">
        <f t="shared" si="125"/>
        <v/>
      </c>
      <c r="F194" s="230" t="str">
        <f t="shared" si="126"/>
        <v/>
      </c>
      <c r="AC194" s="27"/>
      <c r="AN194" s="1"/>
      <c r="AO194" s="1"/>
      <c r="AP194" s="1"/>
      <c r="AQ194" s="1"/>
      <c r="BD194" s="1"/>
      <c r="BE194" s="1"/>
    </row>
    <row r="195" spans="2:57" customFormat="1" hidden="1" x14ac:dyDescent="0.2">
      <c r="B195" s="229">
        <v>7</v>
      </c>
      <c r="C195" s="9"/>
      <c r="D195" s="9"/>
      <c r="E195" s="190" t="str">
        <f t="shared" si="125"/>
        <v/>
      </c>
      <c r="F195" s="230" t="str">
        <f t="shared" si="126"/>
        <v/>
      </c>
      <c r="AC195" s="27"/>
      <c r="AN195" s="1"/>
      <c r="AO195" s="1"/>
      <c r="AP195" s="1"/>
      <c r="AQ195" s="1"/>
      <c r="BD195" s="1"/>
      <c r="BE195" s="1"/>
    </row>
    <row r="196" spans="2:57" customFormat="1" hidden="1" x14ac:dyDescent="0.2">
      <c r="B196" s="229">
        <v>8</v>
      </c>
      <c r="C196" s="9"/>
      <c r="D196" s="9"/>
      <c r="E196" s="190" t="str">
        <f t="shared" si="125"/>
        <v/>
      </c>
      <c r="F196" s="230" t="str">
        <f t="shared" si="126"/>
        <v/>
      </c>
      <c r="AC196" s="27"/>
      <c r="AN196" s="1"/>
      <c r="AO196" s="1"/>
      <c r="AP196" s="1"/>
      <c r="AQ196" s="1"/>
      <c r="BD196" s="1"/>
      <c r="BE196" s="1"/>
    </row>
    <row r="197" spans="2:57" customFormat="1" hidden="1" x14ac:dyDescent="0.2">
      <c r="B197" s="229">
        <v>9</v>
      </c>
      <c r="C197" s="9"/>
      <c r="D197" s="9"/>
      <c r="E197" s="190" t="str">
        <f t="shared" si="125"/>
        <v/>
      </c>
      <c r="F197" s="230" t="str">
        <f t="shared" si="126"/>
        <v/>
      </c>
      <c r="AC197" s="27"/>
      <c r="AN197" s="1"/>
      <c r="AO197" s="1"/>
      <c r="AP197" s="1"/>
      <c r="AQ197" s="1"/>
      <c r="BD197" s="1"/>
      <c r="BE197" s="1"/>
    </row>
    <row r="198" spans="2:57" customFormat="1" hidden="1" x14ac:dyDescent="0.2">
      <c r="B198" s="229">
        <v>10</v>
      </c>
      <c r="C198" s="9"/>
      <c r="D198" s="9"/>
      <c r="E198" s="190" t="str">
        <f t="shared" si="125"/>
        <v/>
      </c>
      <c r="F198" s="230" t="str">
        <f t="shared" si="126"/>
        <v/>
      </c>
      <c r="AC198" s="27"/>
      <c r="AN198" s="1"/>
      <c r="AO198" s="1"/>
      <c r="AP198" s="1"/>
      <c r="AQ198" s="1"/>
      <c r="BD198" s="1"/>
      <c r="BE198" s="1"/>
    </row>
    <row r="199" spans="2:57" customFormat="1" hidden="1" x14ac:dyDescent="0.2">
      <c r="B199" s="229">
        <v>11</v>
      </c>
      <c r="C199" s="9"/>
      <c r="D199" s="9"/>
      <c r="E199" s="190" t="str">
        <f t="shared" si="125"/>
        <v/>
      </c>
      <c r="F199" s="230" t="str">
        <f t="shared" si="126"/>
        <v/>
      </c>
      <c r="AC199" s="27"/>
      <c r="AN199" s="1"/>
      <c r="AO199" s="1"/>
      <c r="AP199" s="1"/>
      <c r="AQ199" s="1"/>
      <c r="BD199" s="1"/>
      <c r="BE199" s="1"/>
    </row>
    <row r="200" spans="2:57" customFormat="1" hidden="1" x14ac:dyDescent="0.2">
      <c r="B200" s="229">
        <v>12</v>
      </c>
      <c r="C200" s="9"/>
      <c r="D200" s="9"/>
      <c r="E200" s="190" t="str">
        <f t="shared" si="125"/>
        <v/>
      </c>
      <c r="F200" s="230" t="str">
        <f t="shared" si="126"/>
        <v/>
      </c>
      <c r="AC200" s="27"/>
      <c r="AN200" s="1"/>
      <c r="AO200" s="1"/>
      <c r="AP200" s="1"/>
      <c r="AQ200" s="1"/>
      <c r="BD200" s="1"/>
      <c r="BE200" s="1"/>
    </row>
    <row r="201" spans="2:57" customFormat="1" hidden="1" x14ac:dyDescent="0.2">
      <c r="B201" s="229">
        <v>13</v>
      </c>
      <c r="C201" s="9"/>
      <c r="D201" s="9"/>
      <c r="E201" s="190" t="str">
        <f t="shared" si="125"/>
        <v/>
      </c>
      <c r="F201" s="230" t="str">
        <f t="shared" si="126"/>
        <v/>
      </c>
      <c r="AC201" s="27"/>
      <c r="AN201" s="1"/>
      <c r="AO201" s="1"/>
      <c r="AP201" s="1"/>
      <c r="AQ201" s="1"/>
      <c r="BD201" s="1"/>
      <c r="BE201" s="1"/>
    </row>
    <row r="202" spans="2:57" customFormat="1" hidden="1" x14ac:dyDescent="0.2">
      <c r="B202" s="229">
        <v>14</v>
      </c>
      <c r="C202" s="9"/>
      <c r="D202" s="9"/>
      <c r="E202" s="190" t="str">
        <f t="shared" si="125"/>
        <v/>
      </c>
      <c r="F202" s="230" t="str">
        <f t="shared" si="126"/>
        <v/>
      </c>
      <c r="AC202" s="27"/>
      <c r="AN202" s="1"/>
      <c r="AO202" s="1"/>
      <c r="AP202" s="1"/>
      <c r="AQ202" s="1"/>
      <c r="BD202" s="1"/>
      <c r="BE202" s="1"/>
    </row>
    <row r="203" spans="2:57" customFormat="1" hidden="1" x14ac:dyDescent="0.2">
      <c r="B203" s="229">
        <v>15</v>
      </c>
      <c r="C203" s="9"/>
      <c r="D203" s="9"/>
      <c r="E203" s="190" t="str">
        <f t="shared" si="125"/>
        <v/>
      </c>
      <c r="F203" s="230" t="str">
        <f t="shared" si="126"/>
        <v/>
      </c>
      <c r="AC203" s="27"/>
      <c r="AN203" s="1"/>
      <c r="AO203" s="1"/>
      <c r="AP203" s="1"/>
      <c r="AQ203" s="1"/>
      <c r="BD203" s="1"/>
      <c r="BE203" s="1"/>
    </row>
    <row r="204" spans="2:57" customFormat="1" hidden="1" x14ac:dyDescent="0.2">
      <c r="B204" s="229">
        <v>16</v>
      </c>
      <c r="C204" s="9"/>
      <c r="D204" s="9"/>
      <c r="E204" s="190" t="str">
        <f t="shared" si="125"/>
        <v/>
      </c>
      <c r="F204" s="230" t="str">
        <f t="shared" si="126"/>
        <v/>
      </c>
      <c r="AC204" s="27"/>
      <c r="AN204" s="1"/>
      <c r="AO204" s="1"/>
      <c r="AP204" s="1"/>
      <c r="AQ204" s="1"/>
      <c r="BD204" s="1"/>
      <c r="BE204" s="1"/>
    </row>
    <row r="205" spans="2:57" customFormat="1" hidden="1" x14ac:dyDescent="0.2">
      <c r="B205" s="229">
        <v>17</v>
      </c>
      <c r="C205" s="9"/>
      <c r="D205" s="9"/>
      <c r="E205" s="190" t="str">
        <f t="shared" si="125"/>
        <v/>
      </c>
      <c r="F205" s="230" t="str">
        <f t="shared" si="126"/>
        <v/>
      </c>
      <c r="AC205" s="27"/>
      <c r="AN205" s="1"/>
      <c r="AO205" s="1"/>
      <c r="AP205" s="1"/>
      <c r="AQ205" s="1"/>
      <c r="BD205" s="1"/>
      <c r="BE205" s="1"/>
    </row>
    <row r="206" spans="2:57" customFormat="1" ht="13.5" hidden="1" thickBot="1" x14ac:dyDescent="0.25">
      <c r="B206" s="229">
        <v>18</v>
      </c>
      <c r="C206" s="9"/>
      <c r="D206" s="9"/>
      <c r="E206" s="190" t="str">
        <f t="shared" si="125"/>
        <v/>
      </c>
      <c r="F206" s="230" t="str">
        <f>IF(E206=1,CONCATENATE(" Gun ",$B206," identified both as Pistol and Rifle! "),"")</f>
        <v/>
      </c>
      <c r="AC206" s="27"/>
      <c r="AN206" s="1"/>
      <c r="AO206" s="1"/>
      <c r="AP206" s="1"/>
      <c r="AQ206" s="1"/>
      <c r="BD206" s="1"/>
      <c r="BE206" s="1"/>
    </row>
    <row r="207" spans="2:57" customFormat="1" hidden="1" x14ac:dyDescent="0.2">
      <c r="B207" s="182"/>
      <c r="C207" s="183"/>
      <c r="D207" s="183"/>
      <c r="E207" s="231">
        <f>SUM(E189:E206)</f>
        <v>0</v>
      </c>
      <c r="F207" s="232" t="str">
        <f>CONCATENATE(F189,F190,F191,F192,F193,F194,F195,F196,F197,F198,F199,F200,F201,F202,F203,F204,F205,F206,)</f>
        <v/>
      </c>
      <c r="AC207" s="27"/>
      <c r="AN207" s="1"/>
      <c r="AO207" s="1"/>
      <c r="AP207" s="1"/>
      <c r="AQ207" s="1"/>
      <c r="BD207" s="1"/>
      <c r="BE207" s="1"/>
    </row>
    <row r="208" spans="2:57" customFormat="1" hidden="1" x14ac:dyDescent="0.2">
      <c r="AC208" s="27"/>
      <c r="AN208" s="1"/>
      <c r="AO208" s="1"/>
      <c r="AP208" s="1"/>
      <c r="AQ208" s="1"/>
      <c r="BD208" s="1"/>
      <c r="BE208" s="1"/>
    </row>
    <row r="209" spans="2:57" customFormat="1" hidden="1" x14ac:dyDescent="0.2">
      <c r="B209" s="226" t="s">
        <v>446</v>
      </c>
      <c r="C209" s="227"/>
      <c r="D209" s="227"/>
      <c r="E209" s="227"/>
      <c r="F209" s="227"/>
      <c r="G209" s="227"/>
      <c r="H209" s="227"/>
      <c r="I209" s="227"/>
      <c r="J209" s="228"/>
      <c r="AC209" s="27"/>
      <c r="AN209" s="1"/>
      <c r="AO209" s="1"/>
      <c r="AP209" s="1"/>
      <c r="AQ209" s="1"/>
      <c r="BD209" s="1"/>
      <c r="BE209" s="1"/>
    </row>
    <row r="210" spans="2:57" customFormat="1" hidden="1" x14ac:dyDescent="0.2">
      <c r="B210" s="229" t="s">
        <v>436</v>
      </c>
      <c r="C210" s="179" t="s">
        <v>438</v>
      </c>
      <c r="D210" s="197" t="s">
        <v>431</v>
      </c>
      <c r="E210" s="198" t="s">
        <v>432</v>
      </c>
      <c r="F210" s="198" t="s">
        <v>433</v>
      </c>
      <c r="G210" s="198" t="s">
        <v>434</v>
      </c>
      <c r="H210" s="198"/>
      <c r="I210" s="199" t="s">
        <v>435</v>
      </c>
      <c r="J210" s="181"/>
      <c r="AC210" s="27"/>
      <c r="AN210" s="1"/>
      <c r="AO210" s="1"/>
      <c r="AP210" s="1"/>
      <c r="AQ210" s="1"/>
      <c r="BD210" s="1"/>
      <c r="BE210" s="1"/>
    </row>
    <row r="211" spans="2:57" customFormat="1" hidden="1" x14ac:dyDescent="0.2">
      <c r="B211" s="229">
        <v>1</v>
      </c>
      <c r="C211" s="233" t="str">
        <f t="shared" ref="C211:C228" si="127">IF(AND(F144&gt;0,(SUM(D144,G144:J144)&gt;0)),1,"")</f>
        <v/>
      </c>
      <c r="D211" s="187" t="str">
        <f t="shared" ref="D211:D228" si="128">IF(AND($C211=1,D144&gt;0),CONCATENATE(D$143,"; "),"")</f>
        <v/>
      </c>
      <c r="E211" s="187" t="str">
        <f t="shared" ref="E211:E228" si="129">IF(AND($C211=1,G144&gt;0),CONCATENATE(G$143,"; "),"")</f>
        <v/>
      </c>
      <c r="F211" s="187" t="str">
        <f t="shared" ref="F211:F228" si="130">IF(AND($C211=1,I144&gt;0),CONCATENATE(I$143,"; "),"")</f>
        <v/>
      </c>
      <c r="G211" s="187" t="str">
        <f t="shared" ref="G211:G228" si="131">IF(AND($C211=1,J144&gt;0),CONCATENATE(J$143,"; "),"")</f>
        <v/>
      </c>
      <c r="H211" s="187"/>
      <c r="I211" s="187" t="str">
        <f t="shared" ref="I211:I228" si="132">IF(AND($C211=1,K144&gt;0),CONCATENATE(K$143,"; "),"")</f>
        <v/>
      </c>
      <c r="J211" s="234" t="str">
        <f t="shared" ref="J211:J228" si="133">IF(C211=1,CONCATENATE("Vintage Rifle Gun ",$B189," also used in ",CONCATENATE(D211,E211,F211,G211,I211)),"")</f>
        <v/>
      </c>
      <c r="AC211" s="27"/>
      <c r="AN211" s="1"/>
      <c r="AO211" s="1"/>
      <c r="AP211" s="1"/>
      <c r="AQ211" s="1"/>
      <c r="BD211" s="1"/>
      <c r="BE211" s="1"/>
    </row>
    <row r="212" spans="2:57" customFormat="1" hidden="1" x14ac:dyDescent="0.2">
      <c r="B212" s="229">
        <v>2</v>
      </c>
      <c r="C212" s="233" t="str">
        <f t="shared" si="127"/>
        <v/>
      </c>
      <c r="D212" s="187" t="str">
        <f t="shared" si="128"/>
        <v/>
      </c>
      <c r="E212" s="187" t="str">
        <f t="shared" si="129"/>
        <v/>
      </c>
      <c r="F212" s="187" t="str">
        <f t="shared" si="130"/>
        <v/>
      </c>
      <c r="G212" s="187" t="str">
        <f t="shared" si="131"/>
        <v/>
      </c>
      <c r="H212" s="187"/>
      <c r="I212" s="187" t="str">
        <f t="shared" si="132"/>
        <v/>
      </c>
      <c r="J212" s="234" t="str">
        <f t="shared" si="133"/>
        <v/>
      </c>
      <c r="AC212" s="27"/>
      <c r="AN212" s="1"/>
      <c r="AO212" s="1"/>
      <c r="AP212" s="1"/>
      <c r="AQ212" s="1"/>
      <c r="BD212" s="1"/>
      <c r="BE212" s="1"/>
    </row>
    <row r="213" spans="2:57" customFormat="1" hidden="1" x14ac:dyDescent="0.2">
      <c r="B213" s="229">
        <v>3</v>
      </c>
      <c r="C213" s="233" t="str">
        <f t="shared" si="127"/>
        <v/>
      </c>
      <c r="D213" s="187" t="str">
        <f t="shared" si="128"/>
        <v/>
      </c>
      <c r="E213" s="187" t="str">
        <f t="shared" si="129"/>
        <v/>
      </c>
      <c r="F213" s="187" t="str">
        <f t="shared" si="130"/>
        <v/>
      </c>
      <c r="G213" s="187" t="str">
        <f t="shared" si="131"/>
        <v/>
      </c>
      <c r="H213" s="187"/>
      <c r="I213" s="187" t="str">
        <f t="shared" si="132"/>
        <v/>
      </c>
      <c r="J213" s="234" t="str">
        <f t="shared" si="133"/>
        <v/>
      </c>
      <c r="AC213" s="27"/>
      <c r="AN213" s="1"/>
      <c r="AO213" s="1"/>
      <c r="AP213" s="1"/>
      <c r="AQ213" s="1"/>
      <c r="BD213" s="1"/>
      <c r="BE213" s="1"/>
    </row>
    <row r="214" spans="2:57" customFormat="1" hidden="1" x14ac:dyDescent="0.2">
      <c r="B214" s="229">
        <v>4</v>
      </c>
      <c r="C214" s="233" t="str">
        <f t="shared" si="127"/>
        <v/>
      </c>
      <c r="D214" s="187" t="str">
        <f t="shared" si="128"/>
        <v/>
      </c>
      <c r="E214" s="187" t="str">
        <f t="shared" si="129"/>
        <v/>
      </c>
      <c r="F214" s="187" t="str">
        <f t="shared" si="130"/>
        <v/>
      </c>
      <c r="G214" s="187" t="str">
        <f t="shared" si="131"/>
        <v/>
      </c>
      <c r="H214" s="187"/>
      <c r="I214" s="187" t="str">
        <f t="shared" si="132"/>
        <v/>
      </c>
      <c r="J214" s="234" t="str">
        <f t="shared" si="133"/>
        <v/>
      </c>
      <c r="AC214" s="27"/>
      <c r="AN214" s="1"/>
      <c r="AO214" s="1"/>
      <c r="AP214" s="1"/>
      <c r="AQ214" s="1"/>
      <c r="BD214" s="1"/>
      <c r="BE214" s="1"/>
    </row>
    <row r="215" spans="2:57" customFormat="1" hidden="1" x14ac:dyDescent="0.2">
      <c r="B215" s="229">
        <v>5</v>
      </c>
      <c r="C215" s="233" t="str">
        <f t="shared" si="127"/>
        <v/>
      </c>
      <c r="D215" s="187" t="str">
        <f t="shared" si="128"/>
        <v/>
      </c>
      <c r="E215" s="187" t="str">
        <f t="shared" si="129"/>
        <v/>
      </c>
      <c r="F215" s="187" t="str">
        <f t="shared" si="130"/>
        <v/>
      </c>
      <c r="G215" s="187" t="str">
        <f t="shared" si="131"/>
        <v/>
      </c>
      <c r="H215" s="187"/>
      <c r="I215" s="187" t="str">
        <f t="shared" si="132"/>
        <v/>
      </c>
      <c r="J215" s="234" t="str">
        <f t="shared" si="133"/>
        <v/>
      </c>
      <c r="AC215" s="27"/>
      <c r="AN215" s="1"/>
      <c r="AO215" s="1"/>
      <c r="AP215" s="1"/>
      <c r="AQ215" s="1"/>
      <c r="BD215" s="1"/>
      <c r="BE215" s="1"/>
    </row>
    <row r="216" spans="2:57" customFormat="1" hidden="1" x14ac:dyDescent="0.2">
      <c r="B216" s="229">
        <v>6</v>
      </c>
      <c r="C216" s="233" t="str">
        <f t="shared" si="127"/>
        <v/>
      </c>
      <c r="D216" s="187" t="str">
        <f t="shared" si="128"/>
        <v/>
      </c>
      <c r="E216" s="187" t="str">
        <f t="shared" si="129"/>
        <v/>
      </c>
      <c r="F216" s="187" t="str">
        <f t="shared" si="130"/>
        <v/>
      </c>
      <c r="G216" s="187" t="str">
        <f t="shared" si="131"/>
        <v/>
      </c>
      <c r="H216" s="187"/>
      <c r="I216" s="187" t="str">
        <f t="shared" si="132"/>
        <v/>
      </c>
      <c r="J216" s="234" t="str">
        <f t="shared" si="133"/>
        <v/>
      </c>
      <c r="AC216" s="27"/>
      <c r="AN216" s="1"/>
      <c r="AO216" s="1"/>
      <c r="AP216" s="1"/>
      <c r="AQ216" s="1"/>
      <c r="BD216" s="1"/>
      <c r="BE216" s="1"/>
    </row>
    <row r="217" spans="2:57" customFormat="1" hidden="1" x14ac:dyDescent="0.2">
      <c r="B217" s="229">
        <v>7</v>
      </c>
      <c r="C217" s="233" t="str">
        <f t="shared" si="127"/>
        <v/>
      </c>
      <c r="D217" s="187" t="str">
        <f t="shared" si="128"/>
        <v/>
      </c>
      <c r="E217" s="187" t="str">
        <f t="shared" si="129"/>
        <v/>
      </c>
      <c r="F217" s="187" t="str">
        <f t="shared" si="130"/>
        <v/>
      </c>
      <c r="G217" s="187" t="str">
        <f t="shared" si="131"/>
        <v/>
      </c>
      <c r="H217" s="187"/>
      <c r="I217" s="187" t="str">
        <f t="shared" si="132"/>
        <v/>
      </c>
      <c r="J217" s="234" t="str">
        <f t="shared" si="133"/>
        <v/>
      </c>
      <c r="AC217" s="27"/>
      <c r="AN217" s="1"/>
      <c r="AO217" s="1"/>
      <c r="AP217" s="1"/>
      <c r="AQ217" s="1"/>
      <c r="BD217" s="1"/>
      <c r="BE217" s="1"/>
    </row>
    <row r="218" spans="2:57" customFormat="1" hidden="1" x14ac:dyDescent="0.2">
      <c r="B218" s="229">
        <v>8</v>
      </c>
      <c r="C218" s="233" t="str">
        <f t="shared" si="127"/>
        <v/>
      </c>
      <c r="D218" s="187" t="str">
        <f t="shared" si="128"/>
        <v/>
      </c>
      <c r="E218" s="187" t="str">
        <f t="shared" si="129"/>
        <v/>
      </c>
      <c r="F218" s="187" t="str">
        <f t="shared" si="130"/>
        <v/>
      </c>
      <c r="G218" s="187" t="str">
        <f t="shared" si="131"/>
        <v/>
      </c>
      <c r="H218" s="187"/>
      <c r="I218" s="187" t="str">
        <f t="shared" si="132"/>
        <v/>
      </c>
      <c r="J218" s="234" t="str">
        <f t="shared" si="133"/>
        <v/>
      </c>
      <c r="AC218" s="27"/>
      <c r="AN218" s="1"/>
      <c r="AO218" s="1"/>
      <c r="AP218" s="1"/>
      <c r="AQ218" s="1"/>
      <c r="BD218" s="1"/>
      <c r="BE218" s="1"/>
    </row>
    <row r="219" spans="2:57" customFormat="1" hidden="1" x14ac:dyDescent="0.2">
      <c r="B219" s="229">
        <v>9</v>
      </c>
      <c r="C219" s="233" t="str">
        <f t="shared" si="127"/>
        <v/>
      </c>
      <c r="D219" s="187" t="str">
        <f t="shared" si="128"/>
        <v/>
      </c>
      <c r="E219" s="187" t="str">
        <f t="shared" si="129"/>
        <v/>
      </c>
      <c r="F219" s="187" t="str">
        <f t="shared" si="130"/>
        <v/>
      </c>
      <c r="G219" s="187" t="str">
        <f t="shared" si="131"/>
        <v/>
      </c>
      <c r="H219" s="187"/>
      <c r="I219" s="187" t="str">
        <f t="shared" si="132"/>
        <v/>
      </c>
      <c r="J219" s="234" t="str">
        <f t="shared" si="133"/>
        <v/>
      </c>
      <c r="AC219" s="27"/>
      <c r="AN219" s="1"/>
      <c r="AO219" s="1"/>
      <c r="AP219" s="1"/>
      <c r="AQ219" s="1"/>
      <c r="BD219" s="1"/>
      <c r="BE219" s="1"/>
    </row>
    <row r="220" spans="2:57" customFormat="1" hidden="1" x14ac:dyDescent="0.2">
      <c r="B220" s="229">
        <v>10</v>
      </c>
      <c r="C220" s="233" t="str">
        <f t="shared" si="127"/>
        <v/>
      </c>
      <c r="D220" s="187" t="str">
        <f t="shared" si="128"/>
        <v/>
      </c>
      <c r="E220" s="187" t="str">
        <f t="shared" si="129"/>
        <v/>
      </c>
      <c r="F220" s="187" t="str">
        <f t="shared" si="130"/>
        <v/>
      </c>
      <c r="G220" s="187" t="str">
        <f t="shared" si="131"/>
        <v/>
      </c>
      <c r="H220" s="187"/>
      <c r="I220" s="187" t="str">
        <f t="shared" si="132"/>
        <v/>
      </c>
      <c r="J220" s="234" t="str">
        <f t="shared" si="133"/>
        <v/>
      </c>
      <c r="AC220" s="27"/>
      <c r="AN220" s="1"/>
      <c r="AO220" s="1"/>
      <c r="AP220" s="1"/>
      <c r="AQ220" s="1"/>
      <c r="BD220" s="1"/>
      <c r="BE220" s="1"/>
    </row>
    <row r="221" spans="2:57" customFormat="1" hidden="1" x14ac:dyDescent="0.2">
      <c r="B221" s="229">
        <v>11</v>
      </c>
      <c r="C221" s="233" t="str">
        <f t="shared" si="127"/>
        <v/>
      </c>
      <c r="D221" s="187" t="str">
        <f t="shared" si="128"/>
        <v/>
      </c>
      <c r="E221" s="187" t="str">
        <f t="shared" si="129"/>
        <v/>
      </c>
      <c r="F221" s="187" t="str">
        <f t="shared" si="130"/>
        <v/>
      </c>
      <c r="G221" s="187" t="str">
        <f t="shared" si="131"/>
        <v/>
      </c>
      <c r="H221" s="187"/>
      <c r="I221" s="187" t="str">
        <f t="shared" si="132"/>
        <v/>
      </c>
      <c r="J221" s="234" t="str">
        <f t="shared" si="133"/>
        <v/>
      </c>
      <c r="AC221" s="27"/>
      <c r="AN221" s="1"/>
      <c r="AO221" s="1"/>
      <c r="AP221" s="1"/>
      <c r="AQ221" s="1"/>
      <c r="BD221" s="1"/>
      <c r="BE221" s="1"/>
    </row>
    <row r="222" spans="2:57" customFormat="1" hidden="1" x14ac:dyDescent="0.2">
      <c r="B222" s="229">
        <v>12</v>
      </c>
      <c r="C222" s="233" t="str">
        <f t="shared" si="127"/>
        <v/>
      </c>
      <c r="D222" s="187" t="str">
        <f t="shared" si="128"/>
        <v/>
      </c>
      <c r="E222" s="187" t="str">
        <f t="shared" si="129"/>
        <v/>
      </c>
      <c r="F222" s="187" t="str">
        <f t="shared" si="130"/>
        <v/>
      </c>
      <c r="G222" s="187" t="str">
        <f t="shared" si="131"/>
        <v/>
      </c>
      <c r="H222" s="187"/>
      <c r="I222" s="187" t="str">
        <f t="shared" si="132"/>
        <v/>
      </c>
      <c r="J222" s="234" t="str">
        <f t="shared" si="133"/>
        <v/>
      </c>
      <c r="AC222" s="27"/>
      <c r="AN222" s="1"/>
      <c r="AO222" s="1"/>
      <c r="AP222" s="1"/>
      <c r="AQ222" s="1"/>
      <c r="BD222" s="1"/>
      <c r="BE222" s="1"/>
    </row>
    <row r="223" spans="2:57" customFormat="1" hidden="1" x14ac:dyDescent="0.2">
      <c r="B223" s="229">
        <v>13</v>
      </c>
      <c r="C223" s="233" t="str">
        <f t="shared" si="127"/>
        <v/>
      </c>
      <c r="D223" s="187" t="str">
        <f t="shared" si="128"/>
        <v/>
      </c>
      <c r="E223" s="187" t="str">
        <f t="shared" si="129"/>
        <v/>
      </c>
      <c r="F223" s="187" t="str">
        <f t="shared" si="130"/>
        <v/>
      </c>
      <c r="G223" s="187" t="str">
        <f t="shared" si="131"/>
        <v/>
      </c>
      <c r="H223" s="187"/>
      <c r="I223" s="187" t="str">
        <f t="shared" si="132"/>
        <v/>
      </c>
      <c r="J223" s="234" t="str">
        <f t="shared" si="133"/>
        <v/>
      </c>
      <c r="AC223" s="27"/>
      <c r="AN223" s="1"/>
      <c r="AO223" s="1"/>
      <c r="AP223" s="1"/>
      <c r="AQ223" s="1"/>
      <c r="BD223" s="1"/>
      <c r="BE223" s="1"/>
    </row>
    <row r="224" spans="2:57" customFormat="1" hidden="1" x14ac:dyDescent="0.2">
      <c r="B224" s="229">
        <v>14</v>
      </c>
      <c r="C224" s="233" t="str">
        <f t="shared" si="127"/>
        <v/>
      </c>
      <c r="D224" s="187" t="str">
        <f t="shared" si="128"/>
        <v/>
      </c>
      <c r="E224" s="187" t="str">
        <f t="shared" si="129"/>
        <v/>
      </c>
      <c r="F224" s="187" t="str">
        <f t="shared" si="130"/>
        <v/>
      </c>
      <c r="G224" s="187" t="str">
        <f t="shared" si="131"/>
        <v/>
      </c>
      <c r="H224" s="187"/>
      <c r="I224" s="187" t="str">
        <f t="shared" si="132"/>
        <v/>
      </c>
      <c r="J224" s="234" t="str">
        <f t="shared" si="133"/>
        <v/>
      </c>
      <c r="AC224" s="27"/>
      <c r="AN224" s="1"/>
      <c r="AO224" s="1"/>
      <c r="AP224" s="1"/>
      <c r="AQ224" s="1"/>
      <c r="BD224" s="1"/>
      <c r="BE224" s="1"/>
    </row>
    <row r="225" spans="2:67" hidden="1" x14ac:dyDescent="0.2">
      <c r="B225" s="229">
        <v>15</v>
      </c>
      <c r="C225" s="233" t="str">
        <f t="shared" si="127"/>
        <v/>
      </c>
      <c r="D225" s="187" t="str">
        <f t="shared" si="128"/>
        <v/>
      </c>
      <c r="E225" s="187" t="str">
        <f t="shared" si="129"/>
        <v/>
      </c>
      <c r="F225" s="187" t="str">
        <f t="shared" si="130"/>
        <v/>
      </c>
      <c r="G225" s="187" t="str">
        <f t="shared" si="131"/>
        <v/>
      </c>
      <c r="H225" s="187"/>
      <c r="I225" s="187" t="str">
        <f t="shared" si="132"/>
        <v/>
      </c>
      <c r="J225" s="234" t="str">
        <f t="shared" si="133"/>
        <v/>
      </c>
      <c r="AC225" s="27"/>
      <c r="AG225"/>
      <c r="AI225"/>
      <c r="AJ225"/>
      <c r="AK225"/>
      <c r="AM225"/>
      <c r="AN225" s="1"/>
      <c r="AO225" s="1"/>
      <c r="AP225" s="1"/>
      <c r="AQ225" s="1"/>
      <c r="AX225"/>
      <c r="AY225"/>
      <c r="AZ225"/>
      <c r="BA225"/>
      <c r="BD225" s="1"/>
      <c r="BE225" s="1"/>
      <c r="BN225"/>
      <c r="BO225"/>
    </row>
    <row r="226" spans="2:67" hidden="1" x14ac:dyDescent="0.2">
      <c r="B226" s="229">
        <v>16</v>
      </c>
      <c r="C226" s="233" t="str">
        <f t="shared" si="127"/>
        <v/>
      </c>
      <c r="D226" s="187" t="str">
        <f t="shared" si="128"/>
        <v/>
      </c>
      <c r="E226" s="187" t="str">
        <f t="shared" si="129"/>
        <v/>
      </c>
      <c r="F226" s="187" t="str">
        <f t="shared" si="130"/>
        <v/>
      </c>
      <c r="G226" s="187" t="str">
        <f t="shared" si="131"/>
        <v/>
      </c>
      <c r="H226" s="187"/>
      <c r="I226" s="187" t="str">
        <f t="shared" si="132"/>
        <v/>
      </c>
      <c r="J226" s="234" t="str">
        <f t="shared" si="133"/>
        <v/>
      </c>
      <c r="AC226" s="27"/>
      <c r="AG226"/>
      <c r="AI226"/>
      <c r="AJ226"/>
      <c r="AK226"/>
      <c r="AM226"/>
      <c r="AN226" s="1"/>
      <c r="AO226" s="1"/>
      <c r="AP226" s="1"/>
      <c r="AQ226" s="1"/>
      <c r="AX226"/>
      <c r="AY226"/>
      <c r="AZ226"/>
      <c r="BA226"/>
      <c r="BD226" s="1"/>
      <c r="BE226" s="1"/>
      <c r="BN226"/>
      <c r="BO226"/>
    </row>
    <row r="227" spans="2:67" hidden="1" x14ac:dyDescent="0.2">
      <c r="B227" s="229">
        <v>17</v>
      </c>
      <c r="C227" s="233" t="str">
        <f t="shared" si="127"/>
        <v/>
      </c>
      <c r="D227" s="187" t="str">
        <f t="shared" si="128"/>
        <v/>
      </c>
      <c r="E227" s="187" t="str">
        <f t="shared" si="129"/>
        <v/>
      </c>
      <c r="F227" s="187" t="str">
        <f t="shared" si="130"/>
        <v/>
      </c>
      <c r="G227" s="187" t="str">
        <f t="shared" si="131"/>
        <v/>
      </c>
      <c r="H227" s="187"/>
      <c r="I227" s="187" t="str">
        <f t="shared" si="132"/>
        <v/>
      </c>
      <c r="J227" s="234" t="str">
        <f t="shared" si="133"/>
        <v/>
      </c>
      <c r="AC227" s="27"/>
      <c r="AG227"/>
      <c r="AI227"/>
      <c r="AJ227"/>
      <c r="AK227"/>
      <c r="AM227"/>
      <c r="AN227" s="1"/>
      <c r="AO227" s="1"/>
      <c r="AP227" s="1"/>
      <c r="AQ227" s="1"/>
      <c r="AX227"/>
      <c r="AY227"/>
      <c r="AZ227"/>
      <c r="BA227"/>
      <c r="BD227" s="1"/>
      <c r="BE227" s="1"/>
      <c r="BN227"/>
      <c r="BO227"/>
    </row>
    <row r="228" spans="2:67" ht="13.5" hidden="1" thickBot="1" x14ac:dyDescent="0.25">
      <c r="B228" s="229">
        <v>18</v>
      </c>
      <c r="C228" s="233" t="str">
        <f t="shared" si="127"/>
        <v/>
      </c>
      <c r="D228" s="187" t="str">
        <f t="shared" si="128"/>
        <v/>
      </c>
      <c r="E228" s="187" t="str">
        <f t="shared" si="129"/>
        <v/>
      </c>
      <c r="F228" s="187" t="str">
        <f t="shared" si="130"/>
        <v/>
      </c>
      <c r="G228" s="187" t="str">
        <f t="shared" si="131"/>
        <v/>
      </c>
      <c r="H228" s="187"/>
      <c r="I228" s="187" t="str">
        <f t="shared" si="132"/>
        <v/>
      </c>
      <c r="J228" s="234" t="str">
        <f t="shared" si="133"/>
        <v/>
      </c>
      <c r="AC228" s="27"/>
      <c r="AG228"/>
      <c r="AI228"/>
      <c r="AJ228"/>
      <c r="AK228"/>
      <c r="AM228"/>
      <c r="AN228" s="1"/>
      <c r="AO228" s="1"/>
      <c r="AP228" s="1"/>
      <c r="AQ228" s="1"/>
      <c r="AX228"/>
      <c r="AY228"/>
      <c r="AZ228"/>
      <c r="BA228"/>
      <c r="BD228" s="1"/>
      <c r="BE228" s="1"/>
      <c r="BN228"/>
      <c r="BO228"/>
    </row>
    <row r="229" spans="2:67" hidden="1" x14ac:dyDescent="0.2">
      <c r="B229" s="182"/>
      <c r="C229" s="235">
        <f>SUM(C211:C228)</f>
        <v>0</v>
      </c>
      <c r="D229" s="183"/>
      <c r="E229" s="183"/>
      <c r="F229" s="183"/>
      <c r="G229" s="183"/>
      <c r="H229" s="183"/>
      <c r="I229" s="183"/>
      <c r="J229" s="236" t="str">
        <f>CONCATENATE(J211,J212,J213,J214,J215,J216,J217,J218,J219,J220,J221,J222,J223,J224,J225,J226,J227,J228,)</f>
        <v/>
      </c>
      <c r="AC229" s="27"/>
      <c r="AG229"/>
      <c r="AI229"/>
      <c r="AJ229"/>
      <c r="AK229"/>
      <c r="AM229"/>
      <c r="AN229" s="1"/>
      <c r="AO229" s="1"/>
      <c r="AP229" s="1"/>
      <c r="AQ229" s="1"/>
      <c r="AX229"/>
      <c r="AY229"/>
      <c r="AZ229"/>
      <c r="BA229"/>
      <c r="BD229" s="1"/>
      <c r="BE229" s="1"/>
      <c r="BN229"/>
      <c r="BO229"/>
    </row>
    <row r="230" spans="2:67" x14ac:dyDescent="0.2">
      <c r="AC230" s="27"/>
      <c r="AG230"/>
      <c r="AI230"/>
      <c r="AJ230"/>
      <c r="AK230"/>
      <c r="AM230"/>
      <c r="AN230" s="1"/>
      <c r="AO230" s="1"/>
      <c r="AP230" s="1"/>
      <c r="AQ230" s="1"/>
      <c r="AX230"/>
      <c r="AY230"/>
      <c r="AZ230"/>
      <c r="BA230"/>
      <c r="BD230" s="1"/>
      <c r="BE230" s="1"/>
      <c r="BN230"/>
      <c r="BO230"/>
    </row>
    <row r="231" spans="2:67" x14ac:dyDescent="0.2">
      <c r="AC231" s="27"/>
      <c r="AG231"/>
      <c r="AI231"/>
      <c r="AJ231"/>
      <c r="AK231"/>
      <c r="AM231"/>
      <c r="AN231" s="1"/>
      <c r="AO231" s="1"/>
      <c r="AP231" s="1"/>
      <c r="AQ231" s="1"/>
      <c r="AX231"/>
      <c r="AY231"/>
      <c r="AZ231"/>
      <c r="BA231"/>
      <c r="BD231" s="1"/>
      <c r="BE231" s="1"/>
      <c r="BN231"/>
      <c r="BO231"/>
    </row>
    <row r="232" spans="2:67" x14ac:dyDescent="0.2">
      <c r="AC232" s="27"/>
      <c r="AG232"/>
      <c r="AI232"/>
      <c r="AJ232"/>
      <c r="AK232"/>
      <c r="AM232"/>
      <c r="AN232" s="1"/>
      <c r="AO232" s="1"/>
      <c r="AP232" s="1"/>
      <c r="AQ232" s="1"/>
      <c r="AX232"/>
      <c r="AY232"/>
      <c r="AZ232"/>
      <c r="BA232"/>
      <c r="BD232" s="1"/>
      <c r="BE232" s="1"/>
      <c r="BN232"/>
      <c r="BO232"/>
    </row>
    <row r="233" spans="2:67" x14ac:dyDescent="0.2">
      <c r="AC233" s="27"/>
      <c r="AG233"/>
      <c r="AI233"/>
      <c r="AJ233"/>
      <c r="AK233"/>
      <c r="AM233"/>
      <c r="AN233" s="1"/>
      <c r="AO233" s="1"/>
      <c r="AP233" s="1"/>
      <c r="AQ233" s="1"/>
      <c r="AX233"/>
      <c r="AY233"/>
      <c r="AZ233"/>
      <c r="BA233"/>
      <c r="BD233" s="1"/>
      <c r="BE233" s="1"/>
      <c r="BN233"/>
      <c r="BO233"/>
    </row>
    <row r="234" spans="2:67" x14ac:dyDescent="0.2">
      <c r="AC234" s="27"/>
      <c r="AG234"/>
      <c r="AI234"/>
      <c r="AJ234"/>
      <c r="AK234"/>
      <c r="AM234"/>
      <c r="AN234" s="1"/>
      <c r="AO234" s="1"/>
      <c r="AP234" s="1"/>
      <c r="AQ234" s="1"/>
      <c r="AX234"/>
      <c r="AY234"/>
      <c r="AZ234"/>
      <c r="BA234"/>
      <c r="BD234" s="1"/>
      <c r="BE234" s="1"/>
      <c r="BN234"/>
      <c r="BO234"/>
    </row>
    <row r="235" spans="2:67" x14ac:dyDescent="0.2">
      <c r="AC235" s="27"/>
      <c r="AG235"/>
      <c r="AI235"/>
      <c r="AJ235"/>
      <c r="AK235"/>
      <c r="AM235"/>
      <c r="AN235" s="1"/>
      <c r="AO235" s="1"/>
      <c r="AP235" s="1"/>
      <c r="AQ235" s="1"/>
      <c r="AX235"/>
      <c r="AY235"/>
      <c r="AZ235"/>
      <c r="BA235"/>
      <c r="BD235" s="1"/>
      <c r="BE235" s="1"/>
      <c r="BN235"/>
      <c r="BO235"/>
    </row>
  </sheetData>
  <sheetProtection password="C858" sheet="1" objects="1" scenarios="1"/>
  <protectedRanges>
    <protectedRange sqref="U7" name="Number of Pages"/>
    <protectedRange sqref="S7" name="Page No."/>
    <protectedRange sqref="N10" name="District_1"/>
    <protectedRange sqref="H10" name="Group or Unit_1"/>
    <protectedRange sqref="U10" name="County"/>
    <protectedRange sqref="D10:E10" name="Team Type"/>
    <protectedRange sqref="B17:X43" name="Entrant Data"/>
  </protectedRanges>
  <mergeCells count="29">
    <mergeCell ref="B14:C14"/>
    <mergeCell ref="B11:C11"/>
    <mergeCell ref="D10:E10"/>
    <mergeCell ref="S10:T10"/>
    <mergeCell ref="L10:M10"/>
    <mergeCell ref="B13:C13"/>
    <mergeCell ref="B10:C10"/>
    <mergeCell ref="N10:R10"/>
    <mergeCell ref="B12:C12"/>
    <mergeCell ref="H10:K10"/>
    <mergeCell ref="F10:G10"/>
    <mergeCell ref="G85:N85"/>
    <mergeCell ref="L11:X11"/>
    <mergeCell ref="R16:T16"/>
    <mergeCell ref="R13:T13"/>
    <mergeCell ref="O14:P14"/>
    <mergeCell ref="R14:T14"/>
    <mergeCell ref="O13:P13"/>
    <mergeCell ref="L12:T12"/>
    <mergeCell ref="U16:V16"/>
    <mergeCell ref="U12:X12"/>
    <mergeCell ref="U13:V14"/>
    <mergeCell ref="W13:W14"/>
    <mergeCell ref="X13:X14"/>
    <mergeCell ref="I6:P6"/>
    <mergeCell ref="I3:P3"/>
    <mergeCell ref="I4:P4"/>
    <mergeCell ref="D8:U8"/>
    <mergeCell ref="U10:X10"/>
  </mergeCells>
  <phoneticPr fontId="13" type="noConversion"/>
  <conditionalFormatting sqref="I44">
    <cfRule type="cellIs" dxfId="21" priority="6" stopIfTrue="1" operator="greaterThan">
      <formula>0</formula>
    </cfRule>
  </conditionalFormatting>
  <conditionalFormatting sqref="F112:F138">
    <cfRule type="cellIs" dxfId="20" priority="5" stopIfTrue="1" operator="greaterThan">
      <formula>3</formula>
    </cfRule>
  </conditionalFormatting>
  <conditionalFormatting sqref="I112:I138 I140">
    <cfRule type="cellIs" dxfId="19" priority="4" stopIfTrue="1" operator="greaterThan">
      <formula>2</formula>
    </cfRule>
  </conditionalFormatting>
  <conditionalFormatting sqref="B45">
    <cfRule type="cellIs" dxfId="18" priority="3" stopIfTrue="1" operator="greaterThan">
      <formula>0</formula>
    </cfRule>
  </conditionalFormatting>
  <conditionalFormatting sqref="C45">
    <cfRule type="notContainsBlanks" dxfId="17" priority="7" stopIfTrue="1">
      <formula>LEN(TRIM(C45))&gt;0</formula>
    </cfRule>
  </conditionalFormatting>
  <conditionalFormatting sqref="Y17:Y43">
    <cfRule type="notContainsBlanks" dxfId="16" priority="1" stopIfTrue="1">
      <formula>LEN(TRIM(Y17))&gt;0</formula>
    </cfRule>
  </conditionalFormatting>
  <dataValidations xWindow="85" yWindow="651" count="39">
    <dataValidation type="textLength" allowBlank="1" showInputMessage="1" showErrorMessage="1" errorTitle="Surname" error="Length must be between 2 and 36 characters" promptTitle="Surname" prompt="Length between 2 and 36 characters" sqref="C17:C43">
      <formula1>2</formula1>
      <formula2>36</formula2>
    </dataValidation>
    <dataValidation type="date" allowBlank="1" showInputMessage="1" showErrorMessage="1" errorTitle="Date out of range" error="Date must be before 16th October 2001" promptTitle="Date of Birth" prompt="Enter format dd/mm/yyyy. 01/01/1900 will be assumed if age suppressed (Permitted for those over 25 only - see rule 20 for the consequence of this)." sqref="D44">
      <formula1>1</formula1>
      <formula2>37179</formula2>
    </dataValidation>
    <dataValidation type="list" allowBlank="1" showDropDown="1" showInputMessage="1" showErrorMessage="1" errorTitle="Invalid character." error="Mark F for female entrant or leave blank" promptTitle="Mark F for female entrant" prompt="Leave blank for male entrants" sqref="E17:E44">
      <formula1>$Z$11:$Z$12</formula1>
    </dataValidation>
    <dataValidation type="whole" allowBlank="1" showInputMessage="1" showErrorMessage="1" errorTitle="Invalid Entry" error="Scout Association Member No._x000a_This is an integer of not more than 6 digits._x000a_You may ignore leading zeroes" promptTitle="Scout Association Member No." prompt="Required if Date of Birth is before 16 Oct-1993_x000a_You may ignore leading zeroes" sqref="F44">
      <formula1>1</formula1>
      <formula2>99999999</formula2>
    </dataValidation>
    <dataValidation type="list" allowBlank="1" showInputMessage="1" showErrorMessage="1" errorTitle="Invalid Entry" error="Enter R for Range Officer or leave blank" promptTitle="Range Officer?" prompt="Enter R for Range Officer_x000a_" sqref="J17:J44">
      <formula1>$Z$25</formula1>
    </dataValidation>
    <dataValidation type="textLength" operator="lessThanOrEqual" allowBlank="1" showInputMessage="1" showErrorMessage="1" errorTitle="Invalid Entry" error="Limit is 20 Characters" promptTitle="3-P Team Name" prompt="Maximum length is 20 characters." sqref="T17:T44 U44">
      <formula1>20</formula1>
    </dataValidation>
    <dataValidation type="whole" allowBlank="1" showInputMessage="1" showErrorMessage="1" errorTitle="Invalid entry!" error="Team type is one of the following_x000a_1. Scout Group _x000a_2. Explorer Scout Unit_x000a_3. Scout Group with &quot;its own&quot; Explorer Scout Unit_x000a_4. Scout District_x000a_5. Scout County/Area" promptTitle="Enter Type of Team" prompt="1. Scout Group _x000a_2. Explorer Scout Unit not attached to a specific Scout Group _x000a_3. Scout Group with an Explorer Scout Unit attached specifically to it _x000a_4. Scout District_x000a_5. Scout County/Area" sqref="D10">
      <formula1>1</formula1>
      <formula2>5</formula2>
    </dataValidation>
    <dataValidation type="list" allowBlank="1" showInputMessage="1" showErrorMessage="1" errorTitle="Summer Biathlon Entry" error="Use dropdown box or leave blank_x000a_" promptTitle="Summer Biathlon" prompt="Enter Y if entering the Summer Biathlon._x000a__x000a_Otherwise leave blank" sqref="V44">
      <formula1>$Z$30</formula1>
    </dataValidation>
    <dataValidation type="list" allowBlank="1" showInputMessage="1" showErrorMessage="1" promptTitle="Entering Fullbore Class A?" prompt="Minimum Age 14_x000a_Enter Y or leave blank" sqref="W44">
      <formula1>$Z$30</formula1>
    </dataValidation>
    <dataValidation type="list" allowBlank="1" showInputMessage="1" showErrorMessage="1" errorTitle="Invalid entry" error="Enter X for a Leader or Range Officer NOT entering the Knockout or leave blank" promptTitle="No Knockout?" prompt="Enter X for a Leader or Range Officer NOT entering the Knockout" sqref="K44">
      <formula1>$Z$27</formula1>
    </dataValidation>
    <dataValidation type="list" allowBlank="1" showInputMessage="1" showErrorMessage="1" errorTitle="Invalid Entry" error="Enter Y or leave blank" promptTitle="Entering Small-bore Class A?" prompt="Minimum age 12._x000a_Enter Y or leave blank." sqref="X44">
      <formula1>$Z$30</formula1>
    </dataValidation>
    <dataValidation type="list" allowBlank="1" showInputMessage="1" showErrorMessage="1" errorTitle="Invalid Team" error="Select from dropdown box" promptTitle="Connaught Team member?" prompt="Select from Drop-down box._x000a_Three entrants per team._x000a_Junior Teams all aged under 14_x000a_Senior Teams may include not more than one member aged 25 or over._x000a_" sqref="I18:I43">
      <formula1>$Z$14:$Z$24</formula1>
    </dataValidation>
    <dataValidation type="date" allowBlank="1" showInputMessage="1" showErrorMessage="1" errorTitle="Date out of range" error="Minimum age for entry is 10 yrs on the Saturday of the competition." promptTitle="Date of Birth" prompt="Enter format dd/mm/yyyy. 01/01/1900 will be assumed if age suppressed (Permitted for those over 25 only - see rule 20 for the consequence of this)." sqref="D17:D43">
      <formula1>4384</formula1>
      <formula2>Youngest_Entrant_DoB</formula2>
    </dataValidation>
    <dataValidation type="whole" allowBlank="1" showInputMessage="1" showErrorMessage="1" errorTitle="Invalid Entry" error="Scout Association Member No._x000a_This is an integer of not more than 8 digits._x000a_You may ignore leading zeroes" promptTitle="Scout Association Member No." prompt="Required for all competitors aged 18 &amp; over on the Saturday of the competition._x000a_You may ignore leading zeroes" sqref="F17:F43">
      <formula1>1</formula1>
      <formula2>99999999</formula2>
    </dataValidation>
    <dataValidation type="textLength" allowBlank="1" showInputMessage="1" showErrorMessage="1" error="Length must be between 2 &amp; 18 Characters" promptTitle="First Name" prompt="Length between 2 &amp; 18 Characters" sqref="B17:B43">
      <formula1>2</formula1>
      <formula2>18</formula2>
    </dataValidation>
    <dataValidation type="list" showDropDown="1" showInputMessage="1" showErrorMessage="1" errorTitle="Invalid Competitor Number" error="Enter Y if person competed last year but entrant number not known_x000a__x000a_Enter N if person did not compete last year_x000a_" promptTitle="Entrant Last Year?" prompt="If this person did NOT compete last year - enter N;_x000a__x000a_If this person did compete last year -_x000a_Enter Last year's competitor number if known or_x000a_Enter Y if entered last year and Competitor number not known" sqref="G44:H44">
      <formula1>#REF!</formula1>
    </dataValidation>
    <dataValidation type="list" allowBlank="1" showInputMessage="1" showErrorMessage="1" errorTitle="Summer Biathlon Entry" error="Use dropdown box or leave blank_x000a_" promptTitle="ISSF Target Sprint Class B" prompt="Enter Y if entering Target Sprint Class B. Enter YnShare if using a shared &quot;Own Rifle&quot;._x000a__x000a_Otherwise leave blank_x000a__x000a_Reminder: Members of the National Scout Rifle Squad may enter the  ISSF Target Sprint Class B only if also competing in Class A._x000a_" sqref="V17:V43">
      <formula1>$Z$30:$Z$48</formula1>
    </dataValidation>
    <dataValidation type="list" operator="lessThanOrEqual" allowBlank="1" showInputMessage="1" showErrorMessage="1" errorTitle="Invalid Entry" error="Limit is 20 Characters" promptTitle="ISSF Target Sprint Class A" prompt="Enter Y if entering ISSF Target Sprint Class A with a provided rifle or an Own Rifle that is NOT being shared._x000a__x000a_Enter YnShare if using an &quot;Own Rifle&quot; shared with other people. _x000a__x000a_Otherwise leave blank" sqref="U17:U43">
      <formula1>$Z$30:$Z$48</formula1>
    </dataValidation>
    <dataValidation type="list" allowBlank="1" showInputMessage="1" showErrorMessage="1" errorTitle="Invalid" error="Enter H for Honours Only - otherwise leave blank._x000a_" promptTitle="Honours Only?" prompt="Enter &quot;H&quot; if Honours Only in all classes (e.g. a Occasional Helper who is not a Member or Associate Member of The Scout Association)." sqref="H17:H43">
      <formula1>$Z$9:$Z$10</formula1>
    </dataValidation>
    <dataValidation type="list" allowBlank="1" showInputMessage="1" showErrorMessage="1" errorTitle="Invalid Entry" error="Select from dropdown box or leave blank" promptTitle="Entering 10m Three-Position?" prompt="Select Class (Open or Sporter) from Dropdown box._x000a__x000a_Use the next column to indicate if rifle is to be shared._x000a_" sqref="R17:R43">
      <formula1>$Z$49:$Z$50</formula1>
    </dataValidation>
    <dataValidation type="list" allowBlank="1" showInputMessage="1" showErrorMessage="1" errorTitle="Invalid data" error="Enter Class (A or B) or leave blank" promptTitle="Entering Fullbore?" prompt="Minimum Age 14_x000a_Enter Class (A or B) if entering or leave blank._x000a__x000a_Reminder: Over 25s enter Class B on an &quot;Honours Only&quot; basis." sqref="W17:W43">
      <formula1>$Z$51:$Z$52</formula1>
    </dataValidation>
    <dataValidation type="list" allowBlank="1" showInputMessage="1" showErrorMessage="1" errorTitle="Invalid Entry" error="Select from dropdown box or leave blank" promptTitle="Entering 3-P Sporter?" prompt="Select from Dropdown box._x000a__x000a_Select Y if class is entered and gun is NOT being shared._x000a__x000a_Select YnShare to identify the gun to be used if shared._x000a__x000a_Refer to Rules 22 &amp; 25 about sharing guns and labelling." sqref="S44">
      <formula1>$AA$30:$AA$48</formula1>
    </dataValidation>
    <dataValidation type="list" allowBlank="1" showInputMessage="1" showErrorMessage="1" errorTitle="Invalid Entry" error="Select from dropdown box or leave blank" promptTitle="Entering 6yd Spring Gun?" prompt="Select from Dropdown box._x000a__x000a_Select Y if class is entered and gun is NOT being shared._x000a__x000a_Select YnShare to identify the gun to be used if shared._x000a__x000a_Refer to Rules 22 &amp; 25 about sharing guns and labelling." sqref="L44">
      <formula1>$AA$30:$AA$48</formula1>
    </dataValidation>
    <dataValidation type="list" allowBlank="1" showInputMessage="1" showErrorMessage="1" errorTitle="Invalid Entry" error="Select from dropdown box or leave blank" promptTitle="Entering Own Pistol?" prompt="Select from Dropdown box._x000a__x000a_Select Y if class is entered and gun is NOT being shared._x000a__x000a_Select YnShare to identify the gun to be used if shared._x000a__x000a_Refer to Rules 22 &amp; 25 about sharing guns and labelling." sqref="M44">
      <formula1>$AA$30:$AA$48</formula1>
    </dataValidation>
    <dataValidation type="list" allowBlank="1" showInputMessage="1" showErrorMessage="1" errorTitle="Invalid Entry" error="Select from dropdown box or leave blank" promptTitle="Entering Vintage Rifle?" prompt="Select from Dropdown box._x000a__x000a_Select Y if class is entered and gun is NOT being shared._x000a__x000a_Select YnShare to identify the gun to be used if shared._x000a__x000a_Refer to Rules 22 &amp; 25 about sharing guns and labelling." sqref="N44">
      <formula1>$AA$30:$AA$48</formula1>
    </dataValidation>
    <dataValidation type="list" allowBlank="1" showInputMessage="1" showErrorMessage="1" errorTitle="Invalid Entry" error="Select from dropdown box or leave blank" promptTitle="Entering 10m Open?" prompt="Select from Dropdown box._x000a__x000a_Select Y if class is entered and gun is NOT being shared._x000a__x000a_Select YnShare to identify the gun to be used if shared._x000a__x000a_Refer to Rules 22 &amp; 25 about sharing guns and labelling._x000a_" sqref="O44">
      <formula1>$AA$30:$AA$48</formula1>
    </dataValidation>
    <dataValidation type="list" allowBlank="1" showInputMessage="1" showErrorMessage="1" errorTitle="Invalid Entry" error="Select from dropdown box or leave blank" promptTitle="Entering 10m Sporter?" prompt="Select from Dropdown box._x000a__x000a_Select Y if class is entered and gun is NOT being shared._x000a__x000a_Select YnShare to identify the gun to be used if shared._x000a__x000a_Refer to Rules 22 &amp; 25 about sharing guns and labelling._x000a_" sqref="P44">
      <formula1>$AA$30:$AA$48</formula1>
    </dataValidation>
    <dataValidation type="list" allowBlank="1" showInputMessage="1" showErrorMessage="1" errorTitle="Invalid Entry" error="Select from dropdown box or leave blank" promptTitle="Entering Advanced Field Target?" prompt="Select from Dropdown box._x000a__x000a_Select Y if class is entered and gun is NOT being shared._x000a__x000a_Select YnShare to identify the gun to be used if shared._x000a__x000a_Refer to Rules 22 &amp; 25 about sharing guns and labelling._x000a_" sqref="Q44">
      <formula1>$AA$30:$AA$48</formula1>
    </dataValidation>
    <dataValidation type="list" allowBlank="1" showInputMessage="1" showErrorMessage="1" errorTitle="Invalid Entry" error="Select from dropdown box or leave blank" promptTitle="Entering 3-P Open?" prompt="Select from Dropdown box._x000a__x000a_Select Y if class is entered and gun is NOT being shared._x000a__x000a_Select YnShare to identify the gun to be used if shared._x000a__x000a_Refer to Rules 22 &amp; 25 about sharing guns and labelling." sqref="R44">
      <formula1>$AA$30:$AA$48</formula1>
    </dataValidation>
    <dataValidation type="list" allowBlank="1" showInputMessage="1" showErrorMessage="1" errorTitle="Invalid entry" error="Enter Class (A, B or X) or leave blank" promptTitle="Entering Small-bore?" prompt="Minimum Age 12_x000a_Enter Class (A, B or X) if entering or leave blank._x000a__x000a_Reminder: Over 18s enter Class B on an &quot;Honours Only&quot; basis._x000a_" sqref="X17:X43">
      <formula1>$Z$51:$Z$53</formula1>
    </dataValidation>
    <dataValidation type="list" allowBlank="1" showInputMessage="1" showErrorMessage="1" errorTitle="Invalid Entry" error="Select from dropdown box or leave blank" promptTitle="Sharing a Rifle for 3-P?" prompt="Select from Dropdown box._x000a__x000a_Select YnShare to identify the gun to be used if shared._x000a_Leave blank if user has sole use of rifle or if 3-P not entered._x000a__x000a_Refer to Rules 21_x000a_ &amp; 25 about sharing guns and labelling." sqref="S17:S43">
      <formula1>$Z$30:$Z$48</formula1>
    </dataValidation>
    <dataValidation type="list" allowBlank="1" showInputMessage="1" showErrorMessage="1" errorTitle="Invalid Entry" error="Select from dropdown box or leave blank" promptTitle="Entering 10m Open?" prompt="Select from Dropdown box._x000a__x000a_Select Y if class is entered and gun is NOT being shared._x000a__x000a_Select YnShare to identify the gun to be used if shared._x000a__x000a_Refer to Rules 21 &amp; 25 about sharing guns and labelling._x000a_" sqref="O17:O43">
      <formula1>$Z$30:$Z$48</formula1>
    </dataValidation>
    <dataValidation type="list" allowBlank="1" showInputMessage="1" showErrorMessage="1" errorTitle="Invalid Entry" error="Select from dropdown box or leave blank" promptTitle="Entering 6yd Spring Gun?" prompt="Select from Dropdown box._x000a__x000a_Select Y if class is entered and gun is NOT being shared._x000a__x000a_Select YnShare to identify the gun to be used if shared._x000a__x000a_Refer to Rules 21 &amp; 25 about sharing guns and labelling." sqref="L17:L43">
      <formula1>$Z$30:$Z$48</formula1>
    </dataValidation>
    <dataValidation type="list" allowBlank="1" showInputMessage="1" showErrorMessage="1" errorTitle="Invalid Entry" error="Select from dropdown box or leave blank" promptTitle="Entering Own Pistol?" prompt="Select from Dropdown box._x000a__x000a_Select Y if class is entered and gun is NOT being shared._x000a__x000a_Select YnShare to identify the gun to be used if shared._x000a__x000a_Refer to Rules 21 &amp; 25 about sharing guns and labelling." sqref="M17:M43">
      <formula1>$Z$30:$Z$48</formula1>
    </dataValidation>
    <dataValidation type="list" allowBlank="1" showInputMessage="1" showErrorMessage="1" errorTitle="Invalid Entry" error="Select from dropdown box or leave blank" promptTitle="Entering Vintage Rifle?" prompt="Select from Dropdown box._x000a__x000a_Select Y if class is entered and gun is NOT being shared._x000a__x000a_Select YnShare to identify the gun to be used if shared._x000a__x000a_Refer to Rules 21 &amp; 25 about sharing guns and labelling." sqref="N17:N43">
      <formula1>$Z$30:$Z$48</formula1>
    </dataValidation>
    <dataValidation type="list" allowBlank="1" showInputMessage="1" showErrorMessage="1" errorTitle="Invalid Entry" error="Select from dropdown box or leave blank" promptTitle="Entering 10m Sporter?" prompt="Select from Dropdown box._x000a__x000a_Select Y if class is entered and gun is NOT being shared._x000a__x000a_Select YnShare to identify the gun to be used if shared._x000a__x000a_Refer to Rules 21 &amp; 25 about sharing guns and labelling._x000a_" sqref="P17:P43">
      <formula1>$Z$30:$Z$48</formula1>
    </dataValidation>
    <dataValidation type="list" allowBlank="1" showInputMessage="1" showErrorMessage="1" errorTitle="Invalid Entry" error="Select from dropdown box or leave blank" promptTitle="Entering Advanced Field Target?" prompt="Select from Dropdown box._x000a__x000a_Select Y if class is entered and gun is NOT being shared._x000a__x000a_Select YnShare to identify the gun to be used if shared._x000a__x000a_Refer to Rules 21 &amp; 25 about sharing guns and labelling._x000a_" sqref="Q17:Q43">
      <formula1>$Z$30:$Z$48</formula1>
    </dataValidation>
    <dataValidation type="list" allowBlank="1" showInputMessage="1" showErrorMessage="1" promptTitle="No Knockout or Main Event?" prompt="Enter X for a Leader or Range Officer NOT entering the Knockout._x000a__x000a_Enter N for a Leader or Range Officer NOT entering ANY Main Event Class._x000a__x000a_Otherwise leave blank." sqref="K17:K43">
      <formula1>$Z$27:$Z$28</formula1>
    </dataValidation>
    <dataValidation type="list" allowBlank="1" showInputMessage="1" showErrorMessage="1" errorTitle="Invalid Team" error="Select from dropdown box" promptTitle="Connaught Team member?" prompt="Select from Drop-down box._x000a_Three entrants per team._x000a_Junior Teams all aged under 14_x000a_A Senior team will comprise 3 members all aged under 25, at least two of whom shall be aged under 18._x000a_" sqref="I17">
      <formula1>$Z$14:$Z$24</formula1>
    </dataValidation>
  </dataValidations>
  <pageMargins left="0.49" right="0.75" top="0.66" bottom="0.79" header="0.5" footer="0.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85" yWindow="651" count="1">
        <x14:dataValidation type="list" allowBlank="1" showDropDown="1" showInputMessage="1" showErrorMessage="1" errorTitle="Invalid" error="This is not a competitor number from last year's results. Please check http://www.scouts-shoot.org.uk/nsrc/results/2007-16/2016/AllRes16.zip" promptTitle="Competed Last year?" prompt="Enter &quot;Y&quot;, &quot;N&quot; or last year's competitor number if known.">
          <x14:formula1>
            <xm:f>LastYrList!$A:$A</xm:f>
          </x14:formula1>
          <xm:sqref>G17:G43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G53"/>
  <sheetViews>
    <sheetView topLeftCell="D1" zoomScale="65" zoomScaleNormal="65" workbookViewId="0">
      <selection activeCell="K39" sqref="K39"/>
    </sheetView>
  </sheetViews>
  <sheetFormatPr defaultRowHeight="12.75" x14ac:dyDescent="0.2"/>
  <cols>
    <col min="1" max="1" width="10.140625" style="1" hidden="1" customWidth="1"/>
    <col min="2" max="2" width="10.140625" style="32" hidden="1" customWidth="1"/>
    <col min="3" max="3" width="10.140625" style="1" hidden="1" customWidth="1"/>
    <col min="4" max="4" width="2.28515625" style="1" customWidth="1"/>
    <col min="6" max="6" width="14.140625" customWidth="1"/>
    <col min="7" max="7" width="10.5703125" customWidth="1"/>
    <col min="8" max="8" width="7" style="1" customWidth="1"/>
    <col min="9" max="9" width="12.42578125" customWidth="1"/>
    <col min="10" max="10" width="12.28515625" customWidth="1"/>
    <col min="11" max="11" width="10.7109375" customWidth="1"/>
    <col min="13" max="13" width="10.42578125" customWidth="1"/>
    <col min="15" max="15" width="10.7109375" customWidth="1"/>
    <col min="22" max="22" width="9.140625" customWidth="1"/>
    <col min="25" max="25" width="9.85546875" customWidth="1"/>
    <col min="32" max="32" width="14" style="284" customWidth="1"/>
    <col min="33" max="33" width="15.140625" customWidth="1"/>
  </cols>
  <sheetData>
    <row r="1" spans="1:32" ht="13.5" thickBot="1" x14ac:dyDescent="0.25"/>
    <row r="2" spans="1:32" ht="13.5" thickBot="1" x14ac:dyDescent="0.25">
      <c r="E2" s="527" t="s">
        <v>0</v>
      </c>
      <c r="F2" s="528"/>
      <c r="G2" s="528"/>
      <c r="H2" s="528"/>
      <c r="I2" s="529" t="str">
        <f>CONCATENATE(Entrants!H10,", ",Entrants!N10,", ",Entrants!U10)</f>
        <v xml:space="preserve">, , </v>
      </c>
      <c r="J2" s="528"/>
      <c r="K2" s="528"/>
      <c r="L2" s="528"/>
      <c r="M2" s="528"/>
      <c r="N2" s="528"/>
      <c r="O2" s="528"/>
      <c r="P2" s="528"/>
      <c r="Q2" s="528"/>
      <c r="R2" s="528"/>
      <c r="S2" s="528"/>
      <c r="T2" s="528"/>
      <c r="U2" s="528"/>
      <c r="V2" s="528"/>
      <c r="W2" s="528"/>
      <c r="X2" s="528"/>
      <c r="Y2" s="528"/>
      <c r="Z2" s="528"/>
      <c r="AA2" s="528"/>
      <c r="AB2" s="528"/>
      <c r="AC2" s="528"/>
      <c r="AD2" s="528"/>
      <c r="AE2" s="530"/>
      <c r="AF2" s="366"/>
    </row>
    <row r="3" spans="1:32" ht="16.5" x14ac:dyDescent="0.25">
      <c r="E3" s="506"/>
      <c r="F3" s="507"/>
      <c r="G3" s="9"/>
      <c r="H3" s="130"/>
      <c r="I3" s="9"/>
      <c r="J3" s="9"/>
      <c r="K3" s="9"/>
      <c r="L3" s="9"/>
      <c r="M3" s="9"/>
      <c r="N3" s="9"/>
      <c r="O3" s="485" t="s">
        <v>8</v>
      </c>
      <c r="P3" s="486"/>
      <c r="Q3" s="486"/>
      <c r="R3" s="486"/>
      <c r="S3" s="486"/>
      <c r="T3" s="486"/>
      <c r="U3" s="486"/>
      <c r="V3" s="486"/>
      <c r="W3" s="486"/>
      <c r="X3" s="486"/>
      <c r="Y3" s="486"/>
      <c r="Z3" s="486"/>
      <c r="AA3" s="486"/>
      <c r="AB3" s="486"/>
      <c r="AC3" s="486"/>
      <c r="AD3" s="487"/>
      <c r="AE3" s="330"/>
      <c r="AF3" s="367"/>
    </row>
    <row r="4" spans="1:32" ht="16.5" customHeight="1" x14ac:dyDescent="0.25">
      <c r="E4" s="531"/>
      <c r="F4" s="532"/>
      <c r="G4" s="4"/>
      <c r="H4" s="98"/>
      <c r="I4" s="2"/>
      <c r="J4" s="2"/>
      <c r="K4" s="4"/>
      <c r="L4" s="4"/>
      <c r="M4" s="4"/>
      <c r="N4" s="7"/>
      <c r="O4" s="495" t="s">
        <v>9</v>
      </c>
      <c r="P4" s="496"/>
      <c r="Q4" s="496"/>
      <c r="R4" s="496"/>
      <c r="S4" s="496"/>
      <c r="T4" s="496"/>
      <c r="U4" s="496"/>
      <c r="V4" s="496"/>
      <c r="W4" s="497"/>
      <c r="X4" s="495" t="s">
        <v>10</v>
      </c>
      <c r="Y4" s="496"/>
      <c r="Z4" s="496"/>
      <c r="AA4" s="496"/>
      <c r="AB4" s="496"/>
      <c r="AC4" s="496"/>
      <c r="AD4" s="452"/>
      <c r="AE4" s="330"/>
      <c r="AF4" s="367"/>
    </row>
    <row r="5" spans="1:32" ht="15" x14ac:dyDescent="0.25">
      <c r="E5" s="517" t="s">
        <v>1</v>
      </c>
      <c r="F5" s="518"/>
      <c r="G5" s="4"/>
      <c r="H5" s="98"/>
      <c r="I5" s="2"/>
      <c r="J5" s="2"/>
      <c r="K5" s="4"/>
      <c r="L5" s="4"/>
      <c r="M5" s="4"/>
      <c r="N5" s="7"/>
      <c r="O5" s="8"/>
      <c r="P5" s="9"/>
      <c r="Q5" s="9"/>
      <c r="R5" s="494" t="s">
        <v>14</v>
      </c>
      <c r="S5" s="493"/>
      <c r="T5" s="6"/>
      <c r="U5" s="494" t="s">
        <v>17</v>
      </c>
      <c r="V5" s="492"/>
      <c r="W5" s="493"/>
      <c r="X5" s="494" t="s">
        <v>808</v>
      </c>
      <c r="Y5" s="493"/>
      <c r="Z5" s="494" t="s">
        <v>19</v>
      </c>
      <c r="AA5" s="493"/>
      <c r="AB5" s="494" t="s">
        <v>21</v>
      </c>
      <c r="AC5" s="523"/>
      <c r="AD5" s="524"/>
      <c r="AE5" s="330"/>
      <c r="AF5" s="367"/>
    </row>
    <row r="6" spans="1:32" ht="33.75" customHeight="1" thickBot="1" x14ac:dyDescent="0.3">
      <c r="E6" s="504" t="s">
        <v>688</v>
      </c>
      <c r="F6" s="505"/>
      <c r="G6" s="4"/>
      <c r="H6" s="99"/>
      <c r="I6" s="2"/>
      <c r="J6" s="2"/>
      <c r="K6" s="4"/>
      <c r="L6" s="4"/>
      <c r="M6" s="4"/>
      <c r="N6" s="7"/>
      <c r="O6" s="5"/>
      <c r="P6" s="5"/>
      <c r="Q6" s="5"/>
      <c r="R6" s="494" t="s">
        <v>15</v>
      </c>
      <c r="S6" s="493"/>
      <c r="T6" s="6"/>
      <c r="U6" s="494" t="s">
        <v>18</v>
      </c>
      <c r="V6" s="492"/>
      <c r="W6" s="493"/>
      <c r="X6" s="494"/>
      <c r="Y6" s="493"/>
      <c r="Z6" s="494" t="s">
        <v>20</v>
      </c>
      <c r="AA6" s="493"/>
      <c r="AB6" s="494" t="s">
        <v>20</v>
      </c>
      <c r="AC6" s="492"/>
      <c r="AD6" s="493"/>
      <c r="AE6" s="330"/>
      <c r="AF6" s="368"/>
    </row>
    <row r="7" spans="1:32" ht="122.25" customHeight="1" x14ac:dyDescent="0.25">
      <c r="E7" s="11" t="s">
        <v>22</v>
      </c>
      <c r="F7" s="12" t="s">
        <v>23</v>
      </c>
      <c r="G7" s="12" t="s">
        <v>2</v>
      </c>
      <c r="H7" s="385" t="s">
        <v>3</v>
      </c>
      <c r="I7" s="12" t="s">
        <v>32</v>
      </c>
      <c r="J7" s="12" t="s">
        <v>33</v>
      </c>
      <c r="K7" s="12" t="s">
        <v>4</v>
      </c>
      <c r="L7" s="12" t="s">
        <v>5</v>
      </c>
      <c r="M7" s="12" t="s">
        <v>6</v>
      </c>
      <c r="N7" s="13" t="s">
        <v>7</v>
      </c>
      <c r="O7" s="10" t="s">
        <v>11</v>
      </c>
      <c r="P7" s="10" t="s">
        <v>12</v>
      </c>
      <c r="Q7" s="10" t="s">
        <v>13</v>
      </c>
      <c r="R7" s="10" t="s">
        <v>24</v>
      </c>
      <c r="S7" s="10" t="s">
        <v>25</v>
      </c>
      <c r="T7" s="10" t="s">
        <v>16</v>
      </c>
      <c r="U7" s="14" t="s">
        <v>24</v>
      </c>
      <c r="V7" s="15" t="s">
        <v>25</v>
      </c>
      <c r="W7" s="164" t="s">
        <v>691</v>
      </c>
      <c r="X7" s="397" t="s">
        <v>1010</v>
      </c>
      <c r="Y7" s="451" t="s">
        <v>1011</v>
      </c>
      <c r="Z7" s="14" t="s">
        <v>26</v>
      </c>
      <c r="AA7" s="16" t="s">
        <v>30</v>
      </c>
      <c r="AB7" s="14" t="s">
        <v>27</v>
      </c>
      <c r="AC7" s="15" t="s">
        <v>28</v>
      </c>
      <c r="AD7" s="16" t="s">
        <v>29</v>
      </c>
      <c r="AE7" s="329" t="s">
        <v>462</v>
      </c>
      <c r="AF7" s="313" t="s">
        <v>461</v>
      </c>
    </row>
    <row r="8" spans="1:32" ht="14.25" thickBot="1" x14ac:dyDescent="0.3">
      <c r="E8" s="18"/>
      <c r="F8" s="19"/>
      <c r="G8" s="19"/>
      <c r="H8" s="19"/>
      <c r="I8" s="19"/>
      <c r="J8" s="19"/>
      <c r="K8" s="19"/>
      <c r="L8" s="19"/>
      <c r="M8" s="19"/>
      <c r="N8" s="20"/>
      <c r="O8" s="269">
        <v>4</v>
      </c>
      <c r="P8" s="270">
        <v>4</v>
      </c>
      <c r="Q8" s="270">
        <v>4</v>
      </c>
      <c r="R8" s="270">
        <v>6.5</v>
      </c>
      <c r="S8" s="270">
        <v>6.5</v>
      </c>
      <c r="T8" s="270">
        <v>4</v>
      </c>
      <c r="U8" s="520">
        <v>10</v>
      </c>
      <c r="V8" s="521"/>
      <c r="W8" s="522"/>
      <c r="X8" s="525">
        <v>4</v>
      </c>
      <c r="Y8" s="526"/>
      <c r="Z8" s="520">
        <v>16.5</v>
      </c>
      <c r="AA8" s="522"/>
      <c r="AB8" s="270">
        <v>9.5</v>
      </c>
      <c r="AC8" s="270">
        <v>8</v>
      </c>
      <c r="AD8" s="270">
        <v>9.5</v>
      </c>
      <c r="AE8" s="330"/>
      <c r="AF8" s="37"/>
    </row>
    <row r="9" spans="1:32" ht="13.5" x14ac:dyDescent="0.25">
      <c r="A9" s="193" t="str">
        <f t="shared" ref="A9:A35" si="0">IF(AF9&gt;0,AF9,"")</f>
        <v/>
      </c>
      <c r="B9" s="237">
        <f t="shared" ref="B9:B35" si="1">IF(AND(COUNTBLANK(L9)=1,N9="N"),1,0)</f>
        <v>0</v>
      </c>
      <c r="C9" s="193">
        <f>B9*$K$37</f>
        <v>0</v>
      </c>
      <c r="D9" s="193"/>
      <c r="E9" s="239" t="str">
        <f>IF(Major_Errors&gt;0,"",IF(COUNTBLANK(Entrants!B17)=0,'Entrant Data'!E4,""))</f>
        <v/>
      </c>
      <c r="F9" s="240" t="str">
        <f>IF(Major_Errors&gt;0,"",IF(COUNTBLANK(Entrants!C17)=0,'Entrant Data'!F4,""))</f>
        <v/>
      </c>
      <c r="G9" s="278" t="str">
        <f>IF(Major_Errors&gt;0,"",IF(COUNTBLANK(Entrants!D17)=0,Entrants!D17,""))</f>
        <v/>
      </c>
      <c r="H9" s="241" t="str">
        <f>IF(Major_Errors&gt;0,"",IF(COUNTBLANK(Entrants!E17)=0,Entrants!E17,""))</f>
        <v/>
      </c>
      <c r="I9" s="241" t="str">
        <f>IF(Major_Errors&gt;0,"",IF(COUNTBLANK(Entrants!F17)=0,Entrants!F17,""))</f>
        <v/>
      </c>
      <c r="J9" s="241" t="str">
        <f>IF(Major_Errors&gt;0,"",IF(Entrants!G17="y","Y",IF(Entrants!G17="n","N",IF(COUNTBLANK(Entrants!G17)=0,Entrants!G17,""))))</f>
        <v/>
      </c>
      <c r="K9" s="241" t="str">
        <f>IF(Major_Errors&gt;0,"",IF(COUNTBLANK(Entrants!I17)=0,Entrants!E58,""))</f>
        <v/>
      </c>
      <c r="L9" s="241" t="str">
        <f>IF(Major_Errors&gt;0,"",IF(COUNTBLANK(Entrants!J17)=0,"R",""))</f>
        <v/>
      </c>
      <c r="M9" s="241" t="str">
        <f>IF(Major_Errors&gt;0,"",IF(COUNTBLANK(E9)=1,"",IF(Entrants!K17="x","X","")))</f>
        <v/>
      </c>
      <c r="N9" s="241" t="str">
        <f>IF(Major_Errors&gt;0,"",IF(COUNTBLANK(E9)=1,"",IF(Entrants!K17="n","N","")))</f>
        <v/>
      </c>
      <c r="O9" s="242" t="str">
        <f>IF(Major_Errors&gt;0,"",IF(COUNTBLANK(Entrants!L17)=0,O$8,""))</f>
        <v/>
      </c>
      <c r="P9" s="242" t="str">
        <f>IF(Major_Errors&gt;0,"",IF(COUNTBLANK(Entrants!M17)=0,P$8,""))</f>
        <v/>
      </c>
      <c r="Q9" s="242" t="str">
        <f>IF(Major_Errors&gt;0,"",IF(COUNTBLANK(Entrants!N17)=0,Q$8,""))</f>
        <v/>
      </c>
      <c r="R9" s="242" t="str">
        <f>IF(Major_Errors&gt;0,"",IF(COUNTBLANK(Entrants!O17)=0,R$8,""))</f>
        <v/>
      </c>
      <c r="S9" s="242" t="str">
        <f>IF(Major_Errors&gt;0,"",IF(COUNTBLANK(Entrants!P17)=0,S$8,""))</f>
        <v/>
      </c>
      <c r="T9" s="242" t="str">
        <f>IF(Major_Errors&gt;0,"",IF(COUNTBLANK(Entrants!Q17)=0,T$8,""))</f>
        <v/>
      </c>
      <c r="U9" s="242" t="str">
        <f>IF(Major_Errors&gt;0,"",IF(Entrants!R17="Open",U$8,""))</f>
        <v/>
      </c>
      <c r="V9" s="242" t="str">
        <f>IF(Major_Errors&gt;0,"",IF(Entrants!R17="Sporter",U$8,""))</f>
        <v/>
      </c>
      <c r="W9" s="240" t="str">
        <f>IF(Major_Errors&gt;0,"",IF(COUNTBLANK(Entrants!T17)=0,Entrants!T17,""))</f>
        <v/>
      </c>
      <c r="X9" s="242" t="str">
        <f>IF(Major_Errors&gt;0,"",IF(COUNTBLANK(Entrants!U17)=0,X$8,""))</f>
        <v/>
      </c>
      <c r="Y9" s="242" t="str">
        <f>IF(Major_Errors&gt;0,"",IF(COUNTBLANK(Entrants!V17)=0,X$8,""))</f>
        <v/>
      </c>
      <c r="Z9" s="242" t="str">
        <f>IF(Major_Errors&gt;0,"",IF(OR(Entrants!W17="a",Entrants!W17="A"),Z$8,""))</f>
        <v/>
      </c>
      <c r="AA9" s="242" t="str">
        <f>IF(Major_Errors&gt;0,"",IF(OR(Entrants!W17="b",Entrants!W17="B"),Z$8,""))</f>
        <v/>
      </c>
      <c r="AB9" s="242" t="str">
        <f>IF(Major_Errors&gt;0,"",IF(Entrants!$X17="A",AB$8,""))</f>
        <v/>
      </c>
      <c r="AC9" s="242" t="str">
        <f>IF(Major_Errors&gt;0,"",IF(Entrants!$X17="B",AC$8,""))</f>
        <v/>
      </c>
      <c r="AD9" s="243" t="str">
        <f>IF(Major_Errors&gt;0,"",IF(Entrants!$X17="X",AD$8,""))</f>
        <v/>
      </c>
      <c r="AE9" s="330">
        <f>IF(COUNTBLANK(E9)=0,IF(L9="R",K$36,IF(N9="N",K$37,K$38)),0)</f>
        <v>0</v>
      </c>
      <c r="AF9" s="332">
        <f>AE9+SUM(O9:AD9)</f>
        <v>0</v>
      </c>
    </row>
    <row r="10" spans="1:32" ht="13.5" x14ac:dyDescent="0.25">
      <c r="A10" s="193" t="str">
        <f t="shared" si="0"/>
        <v/>
      </c>
      <c r="B10" s="237">
        <f t="shared" si="1"/>
        <v>0</v>
      </c>
      <c r="C10" s="193">
        <f t="shared" ref="C10:C35" si="2">B10*$K$37</f>
        <v>0</v>
      </c>
      <c r="D10" s="193"/>
      <c r="E10" s="244" t="str">
        <f>IF(Major_Errors&gt;0,"",IF(COUNTBLANK(Entrants!B18)=0,'Entrant Data'!E5,""))</f>
        <v/>
      </c>
      <c r="F10" s="21" t="str">
        <f>IF(Major_Errors&gt;0,"",IF(COUNTBLANK(Entrants!C18)=0,'Entrant Data'!F5,""))</f>
        <v/>
      </c>
      <c r="G10" s="279" t="str">
        <f>IF(Major_Errors&gt;0,"",IF(COUNTBLANK(Entrants!D18)=0,Entrants!D18,""))</f>
        <v/>
      </c>
      <c r="H10" s="23" t="str">
        <f>IF(Major_Errors&gt;0,"",IF(COUNTBLANK(Entrants!E18)=0,Entrants!E18,""))</f>
        <v/>
      </c>
      <c r="I10" s="23" t="str">
        <f>IF(Major_Errors&gt;0,"",IF(COUNTBLANK(Entrants!F18)=0,Entrants!F18,""))</f>
        <v/>
      </c>
      <c r="J10" s="23" t="str">
        <f>IF(Major_Errors&gt;0,"",IF(Entrants!G18="y","Y",IF(Entrants!G18="n","N",IF(COUNTBLANK(Entrants!G18)=0,Entrants!G18,""))))</f>
        <v/>
      </c>
      <c r="K10" s="23" t="str">
        <f>IF(Major_Errors&gt;0,"",IF(COUNTBLANK(Entrants!I18)=0,Entrants!E59,""))</f>
        <v/>
      </c>
      <c r="L10" s="23" t="str">
        <f>IF(Major_Errors&gt;0,"",IF(COUNTBLANK(Entrants!J18)=0,"R",""))</f>
        <v/>
      </c>
      <c r="M10" s="23" t="str">
        <f>IF(Major_Errors&gt;0,"",IF(COUNTBLANK(E10)=1,"",IF(Entrants!K18="x","X","")))</f>
        <v/>
      </c>
      <c r="N10" s="23" t="str">
        <f>IF(Major_Errors&gt;0,"",IF(COUNTBLANK(E10)=1,"",IF(Entrants!K18="n","N","")))</f>
        <v/>
      </c>
      <c r="O10" s="29" t="str">
        <f>IF(Major_Errors&gt;0,"",IF(COUNTBLANK(Entrants!L18)=0,O$8,""))</f>
        <v/>
      </c>
      <c r="P10" s="29" t="str">
        <f>IF(Major_Errors&gt;0,"",IF(COUNTBLANK(Entrants!M18)=0,P$8,""))</f>
        <v/>
      </c>
      <c r="Q10" s="29" t="str">
        <f>IF(Major_Errors&gt;0,"",IF(COUNTBLANK(Entrants!N18)=0,Q$8,""))</f>
        <v/>
      </c>
      <c r="R10" s="29" t="str">
        <f>IF(Major_Errors&gt;0,"",IF(COUNTBLANK(Entrants!O18)=0,R$8,""))</f>
        <v/>
      </c>
      <c r="S10" s="29" t="str">
        <f>IF(Major_Errors&gt;0,"",IF(COUNTBLANK(Entrants!P18)=0,S$8,""))</f>
        <v/>
      </c>
      <c r="T10" s="29" t="str">
        <f>IF(Major_Errors&gt;0,"",IF(COUNTBLANK(Entrants!Q18)=0,T$8,""))</f>
        <v/>
      </c>
      <c r="U10" s="29" t="str">
        <f>IF(Major_Errors&gt;0,"",IF(Entrants!R18="Open",U$8,""))</f>
        <v/>
      </c>
      <c r="V10" s="29" t="str">
        <f>IF(Major_Errors&gt;0,"",IF(Entrants!R18="Sporter",U$8,""))</f>
        <v/>
      </c>
      <c r="W10" s="21" t="str">
        <f>IF(Major_Errors&gt;0,"",IF(COUNTBLANK(Entrants!T18)=0,Entrants!T18,""))</f>
        <v/>
      </c>
      <c r="X10" s="29" t="str">
        <f>IF(Major_Errors&gt;0,"",IF(COUNTBLANK(Entrants!U18)=0,X$8,""))</f>
        <v/>
      </c>
      <c r="Y10" s="29" t="str">
        <f>IF(Major_Errors&gt;0,"",IF(COUNTBLANK(Entrants!V18)=0,X$8,""))</f>
        <v/>
      </c>
      <c r="Z10" s="29" t="str">
        <f>IF(Major_Errors&gt;0,"",IF(OR(Entrants!W18="a",Entrants!W18="A"),Z$8,""))</f>
        <v/>
      </c>
      <c r="AA10" s="29" t="str">
        <f>IF(Major_Errors&gt;0,"",IF(OR(Entrants!W18="b",Entrants!W18="B"),Z$8,""))</f>
        <v/>
      </c>
      <c r="AB10" s="29" t="str">
        <f>IF(Major_Errors&gt;0,"",IF(Entrants!$X18="A",AB$8,""))</f>
        <v/>
      </c>
      <c r="AC10" s="29" t="str">
        <f>IF(Major_Errors&gt;0,"",IF(Entrants!$X18="B",AC$8,""))</f>
        <v/>
      </c>
      <c r="AD10" s="245" t="str">
        <f>IF(Major_Errors&gt;0,"",IF(Entrants!$X18="X",AD$8,""))</f>
        <v/>
      </c>
      <c r="AE10" s="330">
        <f t="shared" ref="AE10:AE35" si="3">IF(COUNTBLANK(E10)=0,IF(L10="R",K$36,IF(N10="N",K$37,K$38)),0)</f>
        <v>0</v>
      </c>
      <c r="AF10" s="332">
        <f t="shared" ref="AF10:AF35" si="4">AE10+SUM(O10:AD10)</f>
        <v>0</v>
      </c>
    </row>
    <row r="11" spans="1:32" ht="13.5" x14ac:dyDescent="0.25">
      <c r="A11" s="193" t="str">
        <f t="shared" si="0"/>
        <v/>
      </c>
      <c r="B11" s="237">
        <f t="shared" si="1"/>
        <v>0</v>
      </c>
      <c r="C11" s="193">
        <f t="shared" si="2"/>
        <v>0</v>
      </c>
      <c r="D11" s="193"/>
      <c r="E11" s="244" t="str">
        <f>IF(Major_Errors&gt;0,"",IF(COUNTBLANK(Entrants!B19)=0,'Entrant Data'!E6,""))</f>
        <v/>
      </c>
      <c r="F11" s="21" t="str">
        <f>IF(Major_Errors&gt;0,"",IF(COUNTBLANK(Entrants!C19)=0,'Entrant Data'!F6,""))</f>
        <v/>
      </c>
      <c r="G11" s="25" t="str">
        <f>IF(Major_Errors&gt;0,"",IF(COUNTBLANK(Entrants!D19)=0,Entrants!D19,""))</f>
        <v/>
      </c>
      <c r="H11" s="23" t="str">
        <f>IF(Major_Errors&gt;0,"",IF(COUNTBLANK(Entrants!E19)=0,Entrants!E19,""))</f>
        <v/>
      </c>
      <c r="I11" s="23" t="str">
        <f>IF(Major_Errors&gt;0,"",IF(COUNTBLANK(Entrants!F19)=0,Entrants!F19,""))</f>
        <v/>
      </c>
      <c r="J11" s="23" t="str">
        <f>IF(Major_Errors&gt;0,"",IF(Entrants!G19="y","Y",IF(Entrants!G19="n","N",IF(COUNTBLANK(Entrants!G19)=0,Entrants!G19,""))))</f>
        <v/>
      </c>
      <c r="K11" s="23" t="str">
        <f>IF(Major_Errors&gt;0,"",IF(COUNTBLANK(Entrants!I19)=0,Entrants!E60,""))</f>
        <v/>
      </c>
      <c r="L11" s="23" t="str">
        <f>IF(Major_Errors&gt;0,"",IF(COUNTBLANK(Entrants!J19)=0,"R",""))</f>
        <v/>
      </c>
      <c r="M11" s="23" t="str">
        <f>IF(Major_Errors&gt;0,"",IF(COUNTBLANK(E11)=1,"",IF(Entrants!K19="x","X","")))</f>
        <v/>
      </c>
      <c r="N11" s="23" t="str">
        <f>IF(Major_Errors&gt;0,"",IF(COUNTBLANK(E11)=1,"",IF(Entrants!K19="n","N","")))</f>
        <v/>
      </c>
      <c r="O11" s="29" t="str">
        <f>IF(Major_Errors&gt;0,"",IF(COUNTBLANK(Entrants!L19)=0,O$8,""))</f>
        <v/>
      </c>
      <c r="P11" s="29" t="str">
        <f>IF(Major_Errors&gt;0,"",IF(COUNTBLANK(Entrants!M19)=0,P$8,""))</f>
        <v/>
      </c>
      <c r="Q11" s="29" t="str">
        <f>IF(Major_Errors&gt;0,"",IF(COUNTBLANK(Entrants!N19)=0,Q$8,""))</f>
        <v/>
      </c>
      <c r="R11" s="29" t="str">
        <f>IF(Major_Errors&gt;0,"",IF(COUNTBLANK(Entrants!O19)=0,R$8,""))</f>
        <v/>
      </c>
      <c r="S11" s="29" t="str">
        <f>IF(Major_Errors&gt;0,"",IF(COUNTBLANK(Entrants!P19)=0,S$8,""))</f>
        <v/>
      </c>
      <c r="T11" s="29" t="str">
        <f>IF(Major_Errors&gt;0,"",IF(COUNTBLANK(Entrants!Q19)=0,T$8,""))</f>
        <v/>
      </c>
      <c r="U11" s="29" t="str">
        <f>IF(Major_Errors&gt;0,"",IF(Entrants!R19="Open",U$8,""))</f>
        <v/>
      </c>
      <c r="V11" s="29" t="str">
        <f>IF(Major_Errors&gt;0,"",IF(Entrants!R19="Sporter",U$8,""))</f>
        <v/>
      </c>
      <c r="W11" s="21" t="str">
        <f>IF(Major_Errors&gt;0,"",IF(COUNTBLANK(Entrants!T19)=0,Entrants!T19,""))</f>
        <v/>
      </c>
      <c r="X11" s="29" t="str">
        <f>IF(Major_Errors&gt;0,"",IF(COUNTBLANK(Entrants!U19)=0,X$8,""))</f>
        <v/>
      </c>
      <c r="Y11" s="29" t="str">
        <f>IF(Major_Errors&gt;0,"",IF(COUNTBLANK(Entrants!V19)=0,X$8,""))</f>
        <v/>
      </c>
      <c r="Z11" s="29" t="str">
        <f>IF(Major_Errors&gt;0,"",IF(OR(Entrants!W19="a",Entrants!W19="A"),Z$8,""))</f>
        <v/>
      </c>
      <c r="AA11" s="29" t="str">
        <f>IF(Major_Errors&gt;0,"",IF(OR(Entrants!W19="b",Entrants!W19="B"),Z$8,""))</f>
        <v/>
      </c>
      <c r="AB11" s="29" t="str">
        <f>IF(Major_Errors&gt;0,"",IF(Entrants!$X19="A",AB$8,""))</f>
        <v/>
      </c>
      <c r="AC11" s="29" t="str">
        <f>IF(Major_Errors&gt;0,"",IF(Entrants!$X19="B",AC$8,""))</f>
        <v/>
      </c>
      <c r="AD11" s="245" t="str">
        <f>IF(Major_Errors&gt;0,"",IF(Entrants!$X19="X",AD$8,""))</f>
        <v/>
      </c>
      <c r="AE11" s="330">
        <f t="shared" si="3"/>
        <v>0</v>
      </c>
      <c r="AF11" s="332">
        <f t="shared" si="4"/>
        <v>0</v>
      </c>
    </row>
    <row r="12" spans="1:32" ht="13.5" x14ac:dyDescent="0.25">
      <c r="A12" s="193" t="str">
        <f t="shared" si="0"/>
        <v/>
      </c>
      <c r="B12" s="237">
        <f t="shared" si="1"/>
        <v>0</v>
      </c>
      <c r="C12" s="193">
        <f t="shared" si="2"/>
        <v>0</v>
      </c>
      <c r="D12" s="193"/>
      <c r="E12" s="244" t="str">
        <f>IF(Major_Errors&gt;0,"",IF(COUNTBLANK(Entrants!B20)=0,'Entrant Data'!E7,""))</f>
        <v/>
      </c>
      <c r="F12" s="21" t="str">
        <f>IF(Major_Errors&gt;0,"",IF(COUNTBLANK(Entrants!C20)=0,'Entrant Data'!F7,""))</f>
        <v/>
      </c>
      <c r="G12" s="25" t="str">
        <f>IF(Major_Errors&gt;0,"",IF(COUNTBLANK(Entrants!D20)=0,Entrants!D20,""))</f>
        <v/>
      </c>
      <c r="H12" s="23" t="str">
        <f>IF(Major_Errors&gt;0,"",IF(COUNTBLANK(Entrants!E20)=0,Entrants!E20,""))</f>
        <v/>
      </c>
      <c r="I12" s="23" t="str">
        <f>IF(Major_Errors&gt;0,"",IF(COUNTBLANK(Entrants!F20)=0,Entrants!F20,""))</f>
        <v/>
      </c>
      <c r="J12" s="23" t="str">
        <f>IF(Major_Errors&gt;0,"",IF(Entrants!G20="y","Y",IF(Entrants!G20="n","N",IF(COUNTBLANK(Entrants!G20)=0,Entrants!G20,""))))</f>
        <v/>
      </c>
      <c r="K12" s="23" t="str">
        <f>IF(Major_Errors&gt;0,"",IF(COUNTBLANK(Entrants!I20)=0,Entrants!E61,""))</f>
        <v/>
      </c>
      <c r="L12" s="23" t="str">
        <f>IF(Major_Errors&gt;0,"",IF(COUNTBLANK(Entrants!J20)=0,"R",""))</f>
        <v/>
      </c>
      <c r="M12" s="23" t="str">
        <f>IF(Major_Errors&gt;0,"",IF(COUNTBLANK(E12)=1,"",IF(Entrants!K20="x","X","")))</f>
        <v/>
      </c>
      <c r="N12" s="23" t="str">
        <f>IF(Major_Errors&gt;0,"",IF(COUNTBLANK(E12)=1,"",IF(Entrants!K20="n","N","")))</f>
        <v/>
      </c>
      <c r="O12" s="29" t="str">
        <f>IF(Major_Errors&gt;0,"",IF(COUNTBLANK(Entrants!L20)=0,O$8,""))</f>
        <v/>
      </c>
      <c r="P12" s="29" t="str">
        <f>IF(Major_Errors&gt;0,"",IF(COUNTBLANK(Entrants!M20)=0,P$8,""))</f>
        <v/>
      </c>
      <c r="Q12" s="29" t="str">
        <f>IF(Major_Errors&gt;0,"",IF(COUNTBLANK(Entrants!N20)=0,Q$8,""))</f>
        <v/>
      </c>
      <c r="R12" s="29" t="str">
        <f>IF(Major_Errors&gt;0,"",IF(COUNTBLANK(Entrants!O20)=0,R$8,""))</f>
        <v/>
      </c>
      <c r="S12" s="29" t="str">
        <f>IF(Major_Errors&gt;0,"",IF(COUNTBLANK(Entrants!P20)=0,S$8,""))</f>
        <v/>
      </c>
      <c r="T12" s="29" t="str">
        <f>IF(Major_Errors&gt;0,"",IF(COUNTBLANK(Entrants!Q20)=0,T$8,""))</f>
        <v/>
      </c>
      <c r="U12" s="29" t="str">
        <f>IF(Major_Errors&gt;0,"",IF(Entrants!R20="Open",U$8,""))</f>
        <v/>
      </c>
      <c r="V12" s="29" t="str">
        <f>IF(Major_Errors&gt;0,"",IF(Entrants!R20="Sporter",U$8,""))</f>
        <v/>
      </c>
      <c r="W12" s="21" t="str">
        <f>IF(Major_Errors&gt;0,"",IF(COUNTBLANK(Entrants!T20)=0,Entrants!T20,""))</f>
        <v/>
      </c>
      <c r="X12" s="29" t="str">
        <f>IF(Major_Errors&gt;0,"",IF(COUNTBLANK(Entrants!U20)=0,X$8,""))</f>
        <v/>
      </c>
      <c r="Y12" s="29" t="str">
        <f>IF(Major_Errors&gt;0,"",IF(COUNTBLANK(Entrants!V20)=0,X$8,""))</f>
        <v/>
      </c>
      <c r="Z12" s="29" t="str">
        <f>IF(Major_Errors&gt;0,"",IF(OR(Entrants!W20="a",Entrants!W20="A"),Z$8,""))</f>
        <v/>
      </c>
      <c r="AA12" s="29" t="str">
        <f>IF(Major_Errors&gt;0,"",IF(OR(Entrants!W20="b",Entrants!W20="B"),Z$8,""))</f>
        <v/>
      </c>
      <c r="AB12" s="29" t="str">
        <f>IF(Major_Errors&gt;0,"",IF(Entrants!$X20="A",AB$8,""))</f>
        <v/>
      </c>
      <c r="AC12" s="29" t="str">
        <f>IF(Major_Errors&gt;0,"",IF(Entrants!$X20="B",AC$8,""))</f>
        <v/>
      </c>
      <c r="AD12" s="245" t="str">
        <f>IF(Major_Errors&gt;0,"",IF(Entrants!$X20="X",AD$8,""))</f>
        <v/>
      </c>
      <c r="AE12" s="330">
        <f t="shared" si="3"/>
        <v>0</v>
      </c>
      <c r="AF12" s="332">
        <f t="shared" si="4"/>
        <v>0</v>
      </c>
    </row>
    <row r="13" spans="1:32" ht="13.5" x14ac:dyDescent="0.25">
      <c r="A13" s="193" t="str">
        <f t="shared" si="0"/>
        <v/>
      </c>
      <c r="B13" s="237">
        <f t="shared" si="1"/>
        <v>0</v>
      </c>
      <c r="C13" s="193">
        <f t="shared" si="2"/>
        <v>0</v>
      </c>
      <c r="D13" s="193"/>
      <c r="E13" s="244" t="str">
        <f>IF(Major_Errors&gt;0,"",IF(COUNTBLANK(Entrants!B21)=0,'Entrant Data'!E8,""))</f>
        <v/>
      </c>
      <c r="F13" s="21" t="str">
        <f>IF(Major_Errors&gt;0,"",IF(COUNTBLANK(Entrants!C21)=0,'Entrant Data'!F8,""))</f>
        <v/>
      </c>
      <c r="G13" s="25" t="str">
        <f>IF(Major_Errors&gt;0,"",IF(COUNTBLANK(Entrants!D21)=0,Entrants!D21,""))</f>
        <v/>
      </c>
      <c r="H13" s="23" t="str">
        <f>IF(Major_Errors&gt;0,"",IF(COUNTBLANK(Entrants!E21)=0,Entrants!E21,""))</f>
        <v/>
      </c>
      <c r="I13" s="23" t="str">
        <f>IF(Major_Errors&gt;0,"",IF(COUNTBLANK(Entrants!F21)=0,Entrants!F21,""))</f>
        <v/>
      </c>
      <c r="J13" s="23" t="str">
        <f>IF(Major_Errors&gt;0,"",IF(Entrants!G21="y","Y",IF(Entrants!G21="n","N",IF(COUNTBLANK(Entrants!G21)=0,Entrants!G21,""))))</f>
        <v/>
      </c>
      <c r="K13" s="23" t="str">
        <f>IF(Major_Errors&gt;0,"",IF(COUNTBLANK(Entrants!I21)=0,Entrants!E62,""))</f>
        <v/>
      </c>
      <c r="L13" s="23" t="str">
        <f>IF(Major_Errors&gt;0,"",IF(COUNTBLANK(Entrants!J21)=0,"R",""))</f>
        <v/>
      </c>
      <c r="M13" s="23" t="str">
        <f>IF(Major_Errors&gt;0,"",IF(COUNTBLANK(E13)=1,"",IF(Entrants!K21="x","X","")))</f>
        <v/>
      </c>
      <c r="N13" s="23" t="str">
        <f>IF(Major_Errors&gt;0,"",IF(COUNTBLANK(E13)=1,"",IF(Entrants!K21="n","N","")))</f>
        <v/>
      </c>
      <c r="O13" s="29" t="str">
        <f>IF(Major_Errors&gt;0,"",IF(COUNTBLANK(Entrants!L21)=0,O$8,""))</f>
        <v/>
      </c>
      <c r="P13" s="29" t="str">
        <f>IF(Major_Errors&gt;0,"",IF(COUNTBLANK(Entrants!M21)=0,P$8,""))</f>
        <v/>
      </c>
      <c r="Q13" s="29" t="str">
        <f>IF(Major_Errors&gt;0,"",IF(COUNTBLANK(Entrants!N21)=0,Q$8,""))</f>
        <v/>
      </c>
      <c r="R13" s="29" t="str">
        <f>IF(Major_Errors&gt;0,"",IF(COUNTBLANK(Entrants!O21)=0,R$8,""))</f>
        <v/>
      </c>
      <c r="S13" s="29" t="str">
        <f>IF(Major_Errors&gt;0,"",IF(COUNTBLANK(Entrants!P21)=0,S$8,""))</f>
        <v/>
      </c>
      <c r="T13" s="29" t="str">
        <f>IF(Major_Errors&gt;0,"",IF(COUNTBLANK(Entrants!Q21)=0,T$8,""))</f>
        <v/>
      </c>
      <c r="U13" s="29" t="str">
        <f>IF(Major_Errors&gt;0,"",IF(Entrants!R21="Open",U$8,""))</f>
        <v/>
      </c>
      <c r="V13" s="29" t="str">
        <f>IF(Major_Errors&gt;0,"",IF(Entrants!R21="Sporter",U$8,""))</f>
        <v/>
      </c>
      <c r="W13" s="21" t="str">
        <f>IF(Major_Errors&gt;0,"",IF(COUNTBLANK(Entrants!T21)=0,Entrants!T21,""))</f>
        <v/>
      </c>
      <c r="X13" s="29" t="str">
        <f>IF(Major_Errors&gt;0,"",IF(COUNTBLANK(Entrants!U21)=0,X$8,""))</f>
        <v/>
      </c>
      <c r="Y13" s="29" t="str">
        <f>IF(Major_Errors&gt;0,"",IF(COUNTBLANK(Entrants!V21)=0,X$8,""))</f>
        <v/>
      </c>
      <c r="Z13" s="29" t="str">
        <f>IF(Major_Errors&gt;0,"",IF(OR(Entrants!W21="a",Entrants!W21="A"),Z$8,""))</f>
        <v/>
      </c>
      <c r="AA13" s="29" t="str">
        <f>IF(Major_Errors&gt;0,"",IF(OR(Entrants!W21="b",Entrants!W21="B"),Z$8,""))</f>
        <v/>
      </c>
      <c r="AB13" s="29" t="str">
        <f>IF(Major_Errors&gt;0,"",IF(Entrants!$X21="A",AB$8,""))</f>
        <v/>
      </c>
      <c r="AC13" s="29" t="str">
        <f>IF(Major_Errors&gt;0,"",IF(Entrants!$X21="B",AC$8,""))</f>
        <v/>
      </c>
      <c r="AD13" s="245" t="str">
        <f>IF(Major_Errors&gt;0,"",IF(Entrants!$X21="X",AD$8,""))</f>
        <v/>
      </c>
      <c r="AE13" s="330">
        <f t="shared" si="3"/>
        <v>0</v>
      </c>
      <c r="AF13" s="332">
        <f t="shared" si="4"/>
        <v>0</v>
      </c>
    </row>
    <row r="14" spans="1:32" ht="13.5" x14ac:dyDescent="0.25">
      <c r="A14" s="193" t="str">
        <f t="shared" si="0"/>
        <v/>
      </c>
      <c r="B14" s="237">
        <f t="shared" si="1"/>
        <v>0</v>
      </c>
      <c r="C14" s="193">
        <f t="shared" si="2"/>
        <v>0</v>
      </c>
      <c r="D14" s="193"/>
      <c r="E14" s="244" t="str">
        <f>IF(Major_Errors&gt;0,"",IF(COUNTBLANK(Entrants!B22)=0,'Entrant Data'!E9,""))</f>
        <v/>
      </c>
      <c r="F14" s="21" t="str">
        <f>IF(Major_Errors&gt;0,"",IF(COUNTBLANK(Entrants!C22)=0,'Entrant Data'!F9,""))</f>
        <v/>
      </c>
      <c r="G14" s="25" t="str">
        <f>IF(Major_Errors&gt;0,"",IF(COUNTBLANK(Entrants!D22)=0,Entrants!D22,""))</f>
        <v/>
      </c>
      <c r="H14" s="23" t="str">
        <f>IF(Major_Errors&gt;0,"",IF(COUNTBLANK(Entrants!E22)=0,Entrants!E22,""))</f>
        <v/>
      </c>
      <c r="I14" s="23" t="str">
        <f>IF(Major_Errors&gt;0,"",IF(COUNTBLANK(Entrants!F22)=0,Entrants!F22,""))</f>
        <v/>
      </c>
      <c r="J14" s="23" t="str">
        <f>IF(Major_Errors&gt;0,"",IF(Entrants!G22="y","Y",IF(Entrants!G22="n","N",IF(COUNTBLANK(Entrants!G22)=0,Entrants!G22,""))))</f>
        <v/>
      </c>
      <c r="K14" s="23" t="str">
        <f>IF(Major_Errors&gt;0,"",IF(COUNTBLANK(Entrants!I22)=0,Entrants!E63,""))</f>
        <v/>
      </c>
      <c r="L14" s="23" t="str">
        <f>IF(Major_Errors&gt;0,"",IF(COUNTBLANK(Entrants!J22)=0,"R",""))</f>
        <v/>
      </c>
      <c r="M14" s="23" t="str">
        <f>IF(Major_Errors&gt;0,"",IF(COUNTBLANK(E14)=1,"",IF(Entrants!K22="x","X","")))</f>
        <v/>
      </c>
      <c r="N14" s="23" t="str">
        <f>IF(Major_Errors&gt;0,"",IF(COUNTBLANK(E14)=1,"",IF(Entrants!K22="n","N","")))</f>
        <v/>
      </c>
      <c r="O14" s="29" t="str">
        <f>IF(Major_Errors&gt;0,"",IF(COUNTBLANK(Entrants!L22)=0,O$8,""))</f>
        <v/>
      </c>
      <c r="P14" s="29" t="str">
        <f>IF(Major_Errors&gt;0,"",IF(COUNTBLANK(Entrants!M22)=0,P$8,""))</f>
        <v/>
      </c>
      <c r="Q14" s="29" t="str">
        <f>IF(Major_Errors&gt;0,"",IF(COUNTBLANK(Entrants!N22)=0,Q$8,""))</f>
        <v/>
      </c>
      <c r="R14" s="29" t="str">
        <f>IF(Major_Errors&gt;0,"",IF(COUNTBLANK(Entrants!O22)=0,R$8,""))</f>
        <v/>
      </c>
      <c r="S14" s="29" t="str">
        <f>IF(Major_Errors&gt;0,"",IF(COUNTBLANK(Entrants!P22)=0,S$8,""))</f>
        <v/>
      </c>
      <c r="T14" s="29" t="str">
        <f>IF(Major_Errors&gt;0,"",IF(COUNTBLANK(Entrants!Q22)=0,T$8,""))</f>
        <v/>
      </c>
      <c r="U14" s="29" t="str">
        <f>IF(Major_Errors&gt;0,"",IF(Entrants!R22="Open",U$8,""))</f>
        <v/>
      </c>
      <c r="V14" s="29" t="str">
        <f>IF(Major_Errors&gt;0,"",IF(Entrants!R22="Sporter",U$8,""))</f>
        <v/>
      </c>
      <c r="W14" s="21" t="str">
        <f>IF(Major_Errors&gt;0,"",IF(COUNTBLANK(Entrants!T22)=0,Entrants!T22,""))</f>
        <v/>
      </c>
      <c r="X14" s="29" t="str">
        <f>IF(Major_Errors&gt;0,"",IF(COUNTBLANK(Entrants!U22)=0,X$8,""))</f>
        <v/>
      </c>
      <c r="Y14" s="29" t="str">
        <f>IF(Major_Errors&gt;0,"",IF(COUNTBLANK(Entrants!V22)=0,X$8,""))</f>
        <v/>
      </c>
      <c r="Z14" s="29" t="str">
        <f>IF(Major_Errors&gt;0,"",IF(OR(Entrants!W22="a",Entrants!W22="A"),Z$8,""))</f>
        <v/>
      </c>
      <c r="AA14" s="29" t="str">
        <f>IF(Major_Errors&gt;0,"",IF(OR(Entrants!W22="b",Entrants!W22="B"),Z$8,""))</f>
        <v/>
      </c>
      <c r="AB14" s="29" t="str">
        <f>IF(Major_Errors&gt;0,"",IF(Entrants!$X22="A",AB$8,""))</f>
        <v/>
      </c>
      <c r="AC14" s="29" t="str">
        <f>IF(Major_Errors&gt;0,"",IF(Entrants!$X22="B",AC$8,""))</f>
        <v/>
      </c>
      <c r="AD14" s="245" t="str">
        <f>IF(Major_Errors&gt;0,"",IF(Entrants!$X22="X",AD$8,""))</f>
        <v/>
      </c>
      <c r="AE14" s="330">
        <f t="shared" si="3"/>
        <v>0</v>
      </c>
      <c r="AF14" s="332">
        <f t="shared" si="4"/>
        <v>0</v>
      </c>
    </row>
    <row r="15" spans="1:32" ht="13.5" x14ac:dyDescent="0.25">
      <c r="A15" s="193" t="str">
        <f t="shared" si="0"/>
        <v/>
      </c>
      <c r="B15" s="237">
        <f t="shared" si="1"/>
        <v>0</v>
      </c>
      <c r="C15" s="193">
        <f t="shared" si="2"/>
        <v>0</v>
      </c>
      <c r="D15" s="193"/>
      <c r="E15" s="244" t="str">
        <f>IF(Major_Errors&gt;0,"",IF(COUNTBLANK(Entrants!B23)=0,'Entrant Data'!E10,""))</f>
        <v/>
      </c>
      <c r="F15" s="21" t="str">
        <f>IF(Major_Errors&gt;0,"",IF(COUNTBLANK(Entrants!C23)=0,'Entrant Data'!F10,""))</f>
        <v/>
      </c>
      <c r="G15" s="25" t="str">
        <f>IF(Major_Errors&gt;0,"",IF(COUNTBLANK(Entrants!D23)=0,Entrants!D23,""))</f>
        <v/>
      </c>
      <c r="H15" s="23" t="str">
        <f>IF(Major_Errors&gt;0,"",IF(COUNTBLANK(Entrants!E23)=0,Entrants!E23,""))</f>
        <v/>
      </c>
      <c r="I15" s="23" t="str">
        <f>IF(Major_Errors&gt;0,"",IF(COUNTBLANK(Entrants!F23)=0,Entrants!F23,""))</f>
        <v/>
      </c>
      <c r="J15" s="23" t="str">
        <f>IF(Major_Errors&gt;0,"",IF(Entrants!G23="y","Y",IF(Entrants!G23="n","N",IF(COUNTBLANK(Entrants!G23)=0,Entrants!G23,""))))</f>
        <v/>
      </c>
      <c r="K15" s="23" t="str">
        <f>IF(Major_Errors&gt;0,"",IF(COUNTBLANK(Entrants!I23)=0,Entrants!E64,""))</f>
        <v/>
      </c>
      <c r="L15" s="23" t="str">
        <f>IF(Major_Errors&gt;0,"",IF(COUNTBLANK(Entrants!J23)=0,"R",""))</f>
        <v/>
      </c>
      <c r="M15" s="23" t="str">
        <f>IF(Major_Errors&gt;0,"",IF(COUNTBLANK(E15)=1,"",IF(Entrants!K23="x","X","")))</f>
        <v/>
      </c>
      <c r="N15" s="23" t="str">
        <f>IF(Major_Errors&gt;0,"",IF(COUNTBLANK(E15)=1,"",IF(Entrants!K23="n","N","")))</f>
        <v/>
      </c>
      <c r="O15" s="29" t="str">
        <f>IF(Major_Errors&gt;0,"",IF(COUNTBLANK(Entrants!L23)=0,O$8,""))</f>
        <v/>
      </c>
      <c r="P15" s="29" t="str">
        <f>IF(Major_Errors&gt;0,"",IF(COUNTBLANK(Entrants!M23)=0,P$8,""))</f>
        <v/>
      </c>
      <c r="Q15" s="29" t="str">
        <f>IF(Major_Errors&gt;0,"",IF(COUNTBLANK(Entrants!N23)=0,Q$8,""))</f>
        <v/>
      </c>
      <c r="R15" s="29" t="str">
        <f>IF(Major_Errors&gt;0,"",IF(COUNTBLANK(Entrants!O23)=0,R$8,""))</f>
        <v/>
      </c>
      <c r="S15" s="29" t="str">
        <f>IF(Major_Errors&gt;0,"",IF(COUNTBLANK(Entrants!P23)=0,S$8,""))</f>
        <v/>
      </c>
      <c r="T15" s="29" t="str">
        <f>IF(Major_Errors&gt;0,"",IF(COUNTBLANK(Entrants!Q23)=0,T$8,""))</f>
        <v/>
      </c>
      <c r="U15" s="29" t="str">
        <f>IF(Major_Errors&gt;0,"",IF(Entrants!R23="Open",U$8,""))</f>
        <v/>
      </c>
      <c r="V15" s="29" t="str">
        <f>IF(Major_Errors&gt;0,"",IF(Entrants!R23="Sporter",U$8,""))</f>
        <v/>
      </c>
      <c r="W15" s="21" t="str">
        <f>IF(Major_Errors&gt;0,"",IF(COUNTBLANK(Entrants!T23)=0,Entrants!T23,""))</f>
        <v/>
      </c>
      <c r="X15" s="29" t="str">
        <f>IF(Major_Errors&gt;0,"",IF(COUNTBLANK(Entrants!U23)=0,X$8,""))</f>
        <v/>
      </c>
      <c r="Y15" s="29" t="str">
        <f>IF(Major_Errors&gt;0,"",IF(COUNTBLANK(Entrants!V23)=0,X$8,""))</f>
        <v/>
      </c>
      <c r="Z15" s="29" t="str">
        <f>IF(Major_Errors&gt;0,"",IF(OR(Entrants!W23="a",Entrants!W23="A"),Z$8,""))</f>
        <v/>
      </c>
      <c r="AA15" s="29" t="str">
        <f>IF(Major_Errors&gt;0,"",IF(OR(Entrants!W23="b",Entrants!W23="B"),Z$8,""))</f>
        <v/>
      </c>
      <c r="AB15" s="29" t="str">
        <f>IF(Major_Errors&gt;0,"",IF(Entrants!$X23="A",AB$8,""))</f>
        <v/>
      </c>
      <c r="AC15" s="29" t="str">
        <f>IF(Major_Errors&gt;0,"",IF(Entrants!$X23="B",AC$8,""))</f>
        <v/>
      </c>
      <c r="AD15" s="245" t="str">
        <f>IF(Major_Errors&gt;0,"",IF(Entrants!$X23="X",AD$8,""))</f>
        <v/>
      </c>
      <c r="AE15" s="330">
        <f t="shared" si="3"/>
        <v>0</v>
      </c>
      <c r="AF15" s="332">
        <f t="shared" si="4"/>
        <v>0</v>
      </c>
    </row>
    <row r="16" spans="1:32" ht="13.5" x14ac:dyDescent="0.25">
      <c r="A16" s="193" t="str">
        <f t="shared" si="0"/>
        <v/>
      </c>
      <c r="B16" s="237">
        <f t="shared" si="1"/>
        <v>0</v>
      </c>
      <c r="C16" s="193">
        <f t="shared" si="2"/>
        <v>0</v>
      </c>
      <c r="D16" s="193"/>
      <c r="E16" s="244" t="str">
        <f>IF(Major_Errors&gt;0,"",IF(COUNTBLANK(Entrants!B24)=0,'Entrant Data'!E11,""))</f>
        <v/>
      </c>
      <c r="F16" s="21" t="str">
        <f>IF(Major_Errors&gt;0,"",IF(COUNTBLANK(Entrants!C24)=0,'Entrant Data'!F11,""))</f>
        <v/>
      </c>
      <c r="G16" s="25" t="str">
        <f>IF(Major_Errors&gt;0,"",IF(COUNTBLANK(Entrants!D24)=0,Entrants!D24,""))</f>
        <v/>
      </c>
      <c r="H16" s="23" t="str">
        <f>IF(Major_Errors&gt;0,"",IF(COUNTBLANK(Entrants!E24)=0,Entrants!E24,""))</f>
        <v/>
      </c>
      <c r="I16" s="23" t="str">
        <f>IF(Major_Errors&gt;0,"",IF(COUNTBLANK(Entrants!F24)=0,Entrants!F24,""))</f>
        <v/>
      </c>
      <c r="J16" s="23" t="str">
        <f>IF(Major_Errors&gt;0,"",IF(Entrants!G24="y","Y",IF(Entrants!G24="n","N",IF(COUNTBLANK(Entrants!G24)=0,Entrants!G24,""))))</f>
        <v/>
      </c>
      <c r="K16" s="23" t="str">
        <f>IF(Major_Errors&gt;0,"",IF(COUNTBLANK(Entrants!I24)=0,Entrants!E65,""))</f>
        <v/>
      </c>
      <c r="L16" s="23" t="str">
        <f>IF(Major_Errors&gt;0,"",IF(COUNTBLANK(Entrants!J24)=0,"R",""))</f>
        <v/>
      </c>
      <c r="M16" s="23" t="str">
        <f>IF(Major_Errors&gt;0,"",IF(COUNTBLANK(E16)=1,"",IF(Entrants!K24="x","X","")))</f>
        <v/>
      </c>
      <c r="N16" s="23" t="str">
        <f>IF(Major_Errors&gt;0,"",IF(COUNTBLANK(E16)=1,"",IF(Entrants!K24="n","N","")))</f>
        <v/>
      </c>
      <c r="O16" s="29" t="str">
        <f>IF(Major_Errors&gt;0,"",IF(COUNTBLANK(Entrants!L24)=0,O$8,""))</f>
        <v/>
      </c>
      <c r="P16" s="29" t="str">
        <f>IF(Major_Errors&gt;0,"",IF(COUNTBLANK(Entrants!M24)=0,P$8,""))</f>
        <v/>
      </c>
      <c r="Q16" s="29" t="str">
        <f>IF(Major_Errors&gt;0,"",IF(COUNTBLANK(Entrants!N24)=0,Q$8,""))</f>
        <v/>
      </c>
      <c r="R16" s="29" t="str">
        <f>IF(Major_Errors&gt;0,"",IF(COUNTBLANK(Entrants!O24)=0,R$8,""))</f>
        <v/>
      </c>
      <c r="S16" s="29" t="str">
        <f>IF(Major_Errors&gt;0,"",IF(COUNTBLANK(Entrants!P24)=0,S$8,""))</f>
        <v/>
      </c>
      <c r="T16" s="29" t="str">
        <f>IF(Major_Errors&gt;0,"",IF(COUNTBLANK(Entrants!Q24)=0,T$8,""))</f>
        <v/>
      </c>
      <c r="U16" s="29" t="str">
        <f>IF(Major_Errors&gt;0,"",IF(Entrants!R24="Open",U$8,""))</f>
        <v/>
      </c>
      <c r="V16" s="29" t="str">
        <f>IF(Major_Errors&gt;0,"",IF(Entrants!R24="Sporter",U$8,""))</f>
        <v/>
      </c>
      <c r="W16" s="21" t="str">
        <f>IF(Major_Errors&gt;0,"",IF(COUNTBLANK(Entrants!T24)=0,Entrants!T24,""))</f>
        <v/>
      </c>
      <c r="X16" s="29" t="str">
        <f>IF(Major_Errors&gt;0,"",IF(COUNTBLANK(Entrants!U24)=0,X$8,""))</f>
        <v/>
      </c>
      <c r="Y16" s="29" t="str">
        <f>IF(Major_Errors&gt;0,"",IF(COUNTBLANK(Entrants!V24)=0,X$8,""))</f>
        <v/>
      </c>
      <c r="Z16" s="29" t="str">
        <f>IF(Major_Errors&gt;0,"",IF(OR(Entrants!W24="a",Entrants!W24="A"),Z$8,""))</f>
        <v/>
      </c>
      <c r="AA16" s="29" t="str">
        <f>IF(Major_Errors&gt;0,"",IF(OR(Entrants!W24="b",Entrants!W24="B"),Z$8,""))</f>
        <v/>
      </c>
      <c r="AB16" s="29" t="str">
        <f>IF(Major_Errors&gt;0,"",IF(Entrants!$X24="A",AB$8,""))</f>
        <v/>
      </c>
      <c r="AC16" s="29" t="str">
        <f>IF(Major_Errors&gt;0,"",IF(Entrants!$X24="B",AC$8,""))</f>
        <v/>
      </c>
      <c r="AD16" s="245" t="str">
        <f>IF(Major_Errors&gt;0,"",IF(Entrants!$X24="X",AD$8,""))</f>
        <v/>
      </c>
      <c r="AE16" s="330">
        <f t="shared" si="3"/>
        <v>0</v>
      </c>
      <c r="AF16" s="332">
        <f t="shared" si="4"/>
        <v>0</v>
      </c>
    </row>
    <row r="17" spans="1:32" ht="13.5" x14ac:dyDescent="0.25">
      <c r="A17" s="193" t="str">
        <f t="shared" si="0"/>
        <v/>
      </c>
      <c r="B17" s="237">
        <f t="shared" si="1"/>
        <v>0</v>
      </c>
      <c r="C17" s="193">
        <f t="shared" si="2"/>
        <v>0</v>
      </c>
      <c r="D17" s="193"/>
      <c r="E17" s="244" t="str">
        <f>IF(Major_Errors&gt;0,"",IF(COUNTBLANK(Entrants!B25)=0,'Entrant Data'!E12,""))</f>
        <v/>
      </c>
      <c r="F17" s="21" t="str">
        <f>IF(Major_Errors&gt;0,"",IF(COUNTBLANK(Entrants!C25)=0,'Entrant Data'!F12,""))</f>
        <v/>
      </c>
      <c r="G17" s="25" t="str">
        <f>IF(Major_Errors&gt;0,"",IF(COUNTBLANK(Entrants!D25)=0,Entrants!D25,""))</f>
        <v/>
      </c>
      <c r="H17" s="23" t="str">
        <f>IF(Major_Errors&gt;0,"",IF(COUNTBLANK(Entrants!E25)=0,Entrants!E25,""))</f>
        <v/>
      </c>
      <c r="I17" s="23" t="str">
        <f>IF(Major_Errors&gt;0,"",IF(COUNTBLANK(Entrants!F25)=0,Entrants!F25,""))</f>
        <v/>
      </c>
      <c r="J17" s="23" t="str">
        <f>IF(Major_Errors&gt;0,"",IF(Entrants!G25="y","Y",IF(Entrants!G25="n","N",IF(COUNTBLANK(Entrants!G25)=0,Entrants!G25,""))))</f>
        <v/>
      </c>
      <c r="K17" s="23" t="str">
        <f>IF(Major_Errors&gt;0,"",IF(COUNTBLANK(Entrants!I25)=0,Entrants!E66,""))</f>
        <v/>
      </c>
      <c r="L17" s="23" t="str">
        <f>IF(Major_Errors&gt;0,"",IF(COUNTBLANK(Entrants!J25)=0,"R",""))</f>
        <v/>
      </c>
      <c r="M17" s="23" t="str">
        <f>IF(Major_Errors&gt;0,"",IF(COUNTBLANK(E17)=1,"",IF(Entrants!K25="x","X","")))</f>
        <v/>
      </c>
      <c r="N17" s="23" t="str">
        <f>IF(Major_Errors&gt;0,"",IF(COUNTBLANK(E17)=1,"",IF(Entrants!K25="n","N","")))</f>
        <v/>
      </c>
      <c r="O17" s="29" t="str">
        <f>IF(Major_Errors&gt;0,"",IF(COUNTBLANK(Entrants!L25)=0,O$8,""))</f>
        <v/>
      </c>
      <c r="P17" s="29" t="str">
        <f>IF(Major_Errors&gt;0,"",IF(COUNTBLANK(Entrants!M25)=0,P$8,""))</f>
        <v/>
      </c>
      <c r="Q17" s="29" t="str">
        <f>IF(Major_Errors&gt;0,"",IF(COUNTBLANK(Entrants!N25)=0,Q$8,""))</f>
        <v/>
      </c>
      <c r="R17" s="29" t="str">
        <f>IF(Major_Errors&gt;0,"",IF(COUNTBLANK(Entrants!O25)=0,R$8,""))</f>
        <v/>
      </c>
      <c r="S17" s="29" t="str">
        <f>IF(Major_Errors&gt;0,"",IF(COUNTBLANK(Entrants!P25)=0,S$8,""))</f>
        <v/>
      </c>
      <c r="T17" s="29" t="str">
        <f>IF(Major_Errors&gt;0,"",IF(COUNTBLANK(Entrants!Q25)=0,T$8,""))</f>
        <v/>
      </c>
      <c r="U17" s="29" t="str">
        <f>IF(Major_Errors&gt;0,"",IF(Entrants!R25="Open",U$8,""))</f>
        <v/>
      </c>
      <c r="V17" s="29" t="str">
        <f>IF(Major_Errors&gt;0,"",IF(Entrants!R25="Sporter",U$8,""))</f>
        <v/>
      </c>
      <c r="W17" s="21" t="str">
        <f>IF(Major_Errors&gt;0,"",IF(COUNTBLANK(Entrants!T25)=0,Entrants!T25,""))</f>
        <v/>
      </c>
      <c r="X17" s="29" t="str">
        <f>IF(Major_Errors&gt;0,"",IF(COUNTBLANK(Entrants!U25)=0,X$8,""))</f>
        <v/>
      </c>
      <c r="Y17" s="29" t="str">
        <f>IF(Major_Errors&gt;0,"",IF(COUNTBLANK(Entrants!V25)=0,X$8,""))</f>
        <v/>
      </c>
      <c r="Z17" s="29" t="str">
        <f>IF(Major_Errors&gt;0,"",IF(OR(Entrants!W25="a",Entrants!W25="A"),Z$8,""))</f>
        <v/>
      </c>
      <c r="AA17" s="29" t="str">
        <f>IF(Major_Errors&gt;0,"",IF(OR(Entrants!W25="b",Entrants!W25="B"),Z$8,""))</f>
        <v/>
      </c>
      <c r="AB17" s="29" t="str">
        <f>IF(Major_Errors&gt;0,"",IF(Entrants!$X25="A",AB$8,""))</f>
        <v/>
      </c>
      <c r="AC17" s="29" t="str">
        <f>IF(Major_Errors&gt;0,"",IF(Entrants!$X25="B",AC$8,""))</f>
        <v/>
      </c>
      <c r="AD17" s="245" t="str">
        <f>IF(Major_Errors&gt;0,"",IF(Entrants!$X25="X",AD$8,""))</f>
        <v/>
      </c>
      <c r="AE17" s="330">
        <f t="shared" si="3"/>
        <v>0</v>
      </c>
      <c r="AF17" s="332">
        <f t="shared" si="4"/>
        <v>0</v>
      </c>
    </row>
    <row r="18" spans="1:32" ht="13.5" x14ac:dyDescent="0.25">
      <c r="A18" s="193" t="str">
        <f t="shared" si="0"/>
        <v/>
      </c>
      <c r="B18" s="237">
        <f t="shared" si="1"/>
        <v>0</v>
      </c>
      <c r="C18" s="193">
        <f t="shared" si="2"/>
        <v>0</v>
      </c>
      <c r="D18" s="193"/>
      <c r="E18" s="244" t="str">
        <f>IF(Major_Errors&gt;0,"",IF(COUNTBLANK(Entrants!B26)=0,'Entrant Data'!E13,""))</f>
        <v/>
      </c>
      <c r="F18" s="21" t="str">
        <f>IF(Major_Errors&gt;0,"",IF(COUNTBLANK(Entrants!C26)=0,'Entrant Data'!F13,""))</f>
        <v/>
      </c>
      <c r="G18" s="25" t="str">
        <f>IF(Major_Errors&gt;0,"",IF(COUNTBLANK(Entrants!D26)=0,Entrants!D26,""))</f>
        <v/>
      </c>
      <c r="H18" s="23" t="str">
        <f>IF(Major_Errors&gt;0,"",IF(COUNTBLANK(Entrants!E26)=0,Entrants!E26,""))</f>
        <v/>
      </c>
      <c r="I18" s="23" t="str">
        <f>IF(Major_Errors&gt;0,"",IF(COUNTBLANK(Entrants!F26)=0,Entrants!F26,""))</f>
        <v/>
      </c>
      <c r="J18" s="23" t="str">
        <f>IF(Major_Errors&gt;0,"",IF(Entrants!G26="y","Y",IF(Entrants!G26="n","N",IF(COUNTBLANK(Entrants!G26)=0,Entrants!G26,""))))</f>
        <v/>
      </c>
      <c r="K18" s="23" t="str">
        <f>IF(Major_Errors&gt;0,"",IF(COUNTBLANK(Entrants!I26)=0,Entrants!E67,""))</f>
        <v/>
      </c>
      <c r="L18" s="23" t="str">
        <f>IF(Major_Errors&gt;0,"",IF(COUNTBLANK(Entrants!J26)=0,"R",""))</f>
        <v/>
      </c>
      <c r="M18" s="23" t="str">
        <f>IF(Major_Errors&gt;0,"",IF(COUNTBLANK(E18)=1,"",IF(Entrants!K26="x","X","")))</f>
        <v/>
      </c>
      <c r="N18" s="23" t="str">
        <f>IF(Major_Errors&gt;0,"",IF(COUNTBLANK(E18)=1,"",IF(Entrants!K26="n","N","")))</f>
        <v/>
      </c>
      <c r="O18" s="29" t="str">
        <f>IF(Major_Errors&gt;0,"",IF(COUNTBLANK(Entrants!L26)=0,O$8,""))</f>
        <v/>
      </c>
      <c r="P18" s="29" t="str">
        <f>IF(Major_Errors&gt;0,"",IF(COUNTBLANK(Entrants!M26)=0,P$8,""))</f>
        <v/>
      </c>
      <c r="Q18" s="29" t="str">
        <f>IF(Major_Errors&gt;0,"",IF(COUNTBLANK(Entrants!N26)=0,Q$8,""))</f>
        <v/>
      </c>
      <c r="R18" s="29" t="str">
        <f>IF(Major_Errors&gt;0,"",IF(COUNTBLANK(Entrants!O26)=0,R$8,""))</f>
        <v/>
      </c>
      <c r="S18" s="29" t="str">
        <f>IF(Major_Errors&gt;0,"",IF(COUNTBLANK(Entrants!P26)=0,S$8,""))</f>
        <v/>
      </c>
      <c r="T18" s="29" t="str">
        <f>IF(Major_Errors&gt;0,"",IF(COUNTBLANK(Entrants!Q26)=0,T$8,""))</f>
        <v/>
      </c>
      <c r="U18" s="29" t="str">
        <f>IF(Major_Errors&gt;0,"",IF(Entrants!R26="Open",U$8,""))</f>
        <v/>
      </c>
      <c r="V18" s="29" t="str">
        <f>IF(Major_Errors&gt;0,"",IF(Entrants!R26="Sporter",U$8,""))</f>
        <v/>
      </c>
      <c r="W18" s="21" t="str">
        <f>IF(Major_Errors&gt;0,"",IF(COUNTBLANK(Entrants!T26)=0,Entrants!T26,""))</f>
        <v/>
      </c>
      <c r="X18" s="29" t="str">
        <f>IF(Major_Errors&gt;0,"",IF(COUNTBLANK(Entrants!U26)=0,X$8,""))</f>
        <v/>
      </c>
      <c r="Y18" s="29" t="str">
        <f>IF(Major_Errors&gt;0,"",IF(COUNTBLANK(Entrants!V26)=0,X$8,""))</f>
        <v/>
      </c>
      <c r="Z18" s="29" t="str">
        <f>IF(Major_Errors&gt;0,"",IF(OR(Entrants!W26="a",Entrants!W26="A"),Z$8,""))</f>
        <v/>
      </c>
      <c r="AA18" s="29" t="str">
        <f>IF(Major_Errors&gt;0,"",IF(OR(Entrants!W26="b",Entrants!W26="B"),Z$8,""))</f>
        <v/>
      </c>
      <c r="AB18" s="29" t="str">
        <f>IF(Major_Errors&gt;0,"",IF(Entrants!$X26="A",AB$8,""))</f>
        <v/>
      </c>
      <c r="AC18" s="29" t="str">
        <f>IF(Major_Errors&gt;0,"",IF(Entrants!$X26="B",AC$8,""))</f>
        <v/>
      </c>
      <c r="AD18" s="245" t="str">
        <f>IF(Major_Errors&gt;0,"",IF(Entrants!$X26="X",AD$8,""))</f>
        <v/>
      </c>
      <c r="AE18" s="330">
        <f t="shared" si="3"/>
        <v>0</v>
      </c>
      <c r="AF18" s="332">
        <f t="shared" si="4"/>
        <v>0</v>
      </c>
    </row>
    <row r="19" spans="1:32" ht="13.5" x14ac:dyDescent="0.25">
      <c r="A19" s="193" t="str">
        <f t="shared" si="0"/>
        <v/>
      </c>
      <c r="B19" s="237">
        <f t="shared" si="1"/>
        <v>0</v>
      </c>
      <c r="C19" s="193">
        <f t="shared" si="2"/>
        <v>0</v>
      </c>
      <c r="D19" s="193"/>
      <c r="E19" s="244" t="str">
        <f>IF(Major_Errors&gt;0,"",IF(COUNTBLANK(Entrants!B27)=0,'Entrant Data'!E14,""))</f>
        <v/>
      </c>
      <c r="F19" s="21" t="str">
        <f>IF(Major_Errors&gt;0,"",IF(COUNTBLANK(Entrants!C27)=0,'Entrant Data'!F14,""))</f>
        <v/>
      </c>
      <c r="G19" s="25" t="str">
        <f>IF(Major_Errors&gt;0,"",IF(COUNTBLANK(Entrants!D27)=0,Entrants!D27,""))</f>
        <v/>
      </c>
      <c r="H19" s="23" t="str">
        <f>IF(Major_Errors&gt;0,"",IF(COUNTBLANK(Entrants!E27)=0,Entrants!E27,""))</f>
        <v/>
      </c>
      <c r="I19" s="23" t="str">
        <f>IF(Major_Errors&gt;0,"",IF(COUNTBLANK(Entrants!F27)=0,Entrants!F27,""))</f>
        <v/>
      </c>
      <c r="J19" s="23" t="str">
        <f>IF(Major_Errors&gt;0,"",IF(Entrants!G27="y","Y",IF(Entrants!G27="n","N",IF(COUNTBLANK(Entrants!G27)=0,Entrants!G27,""))))</f>
        <v/>
      </c>
      <c r="K19" s="23" t="str">
        <f>IF(Major_Errors&gt;0,"",IF(COUNTBLANK(Entrants!I27)=0,Entrants!E68,""))</f>
        <v/>
      </c>
      <c r="L19" s="23" t="str">
        <f>IF(Major_Errors&gt;0,"",IF(COUNTBLANK(Entrants!J27)=0,"R",""))</f>
        <v/>
      </c>
      <c r="M19" s="23" t="str">
        <f>IF(Major_Errors&gt;0,"",IF(COUNTBLANK(E19)=1,"",IF(Entrants!K27="x","X","")))</f>
        <v/>
      </c>
      <c r="N19" s="23" t="str">
        <f>IF(Major_Errors&gt;0,"",IF(COUNTBLANK(E19)=1,"",IF(Entrants!K27="n","N","")))</f>
        <v/>
      </c>
      <c r="O19" s="29" t="str">
        <f>IF(Major_Errors&gt;0,"",IF(COUNTBLANK(Entrants!L27)=0,O$8,""))</f>
        <v/>
      </c>
      <c r="P19" s="29" t="str">
        <f>IF(Major_Errors&gt;0,"",IF(COUNTBLANK(Entrants!M27)=0,P$8,""))</f>
        <v/>
      </c>
      <c r="Q19" s="29" t="str">
        <f>IF(Major_Errors&gt;0,"",IF(COUNTBLANK(Entrants!N27)=0,Q$8,""))</f>
        <v/>
      </c>
      <c r="R19" s="29" t="str">
        <f>IF(Major_Errors&gt;0,"",IF(COUNTBLANK(Entrants!O27)=0,R$8,""))</f>
        <v/>
      </c>
      <c r="S19" s="29" t="str">
        <f>IF(Major_Errors&gt;0,"",IF(COUNTBLANK(Entrants!P27)=0,S$8,""))</f>
        <v/>
      </c>
      <c r="T19" s="29" t="str">
        <f>IF(Major_Errors&gt;0,"",IF(COUNTBLANK(Entrants!Q27)=0,T$8,""))</f>
        <v/>
      </c>
      <c r="U19" s="29" t="str">
        <f>IF(Major_Errors&gt;0,"",IF(Entrants!R27="Open",U$8,""))</f>
        <v/>
      </c>
      <c r="V19" s="29" t="str">
        <f>IF(Major_Errors&gt;0,"",IF(Entrants!R27="Sporter",U$8,""))</f>
        <v/>
      </c>
      <c r="W19" s="21" t="str">
        <f>IF(Major_Errors&gt;0,"",IF(COUNTBLANK(Entrants!T27)=0,Entrants!T27,""))</f>
        <v/>
      </c>
      <c r="X19" s="29" t="str">
        <f>IF(Major_Errors&gt;0,"",IF(COUNTBLANK(Entrants!U27)=0,X$8,""))</f>
        <v/>
      </c>
      <c r="Y19" s="29" t="str">
        <f>IF(Major_Errors&gt;0,"",IF(COUNTBLANK(Entrants!V27)=0,X$8,""))</f>
        <v/>
      </c>
      <c r="Z19" s="29" t="str">
        <f>IF(Major_Errors&gt;0,"",IF(OR(Entrants!W27="a",Entrants!W27="A"),Z$8,""))</f>
        <v/>
      </c>
      <c r="AA19" s="29" t="str">
        <f>IF(Major_Errors&gt;0,"",IF(OR(Entrants!W27="b",Entrants!W27="B"),Z$8,""))</f>
        <v/>
      </c>
      <c r="AB19" s="29" t="str">
        <f>IF(Major_Errors&gt;0,"",IF(Entrants!$X27="A",AB$8,""))</f>
        <v/>
      </c>
      <c r="AC19" s="29" t="str">
        <f>IF(Major_Errors&gt;0,"",IF(Entrants!$X27="B",AC$8,""))</f>
        <v/>
      </c>
      <c r="AD19" s="245" t="str">
        <f>IF(Major_Errors&gt;0,"",IF(Entrants!$X27="X",AD$8,""))</f>
        <v/>
      </c>
      <c r="AE19" s="330">
        <f t="shared" si="3"/>
        <v>0</v>
      </c>
      <c r="AF19" s="332">
        <f t="shared" si="4"/>
        <v>0</v>
      </c>
    </row>
    <row r="20" spans="1:32" ht="13.5" x14ac:dyDescent="0.25">
      <c r="A20" s="193" t="str">
        <f t="shared" si="0"/>
        <v/>
      </c>
      <c r="B20" s="237">
        <f t="shared" si="1"/>
        <v>0</v>
      </c>
      <c r="C20" s="193">
        <f t="shared" si="2"/>
        <v>0</v>
      </c>
      <c r="D20" s="193"/>
      <c r="E20" s="244" t="str">
        <f>IF(Major_Errors&gt;0,"",IF(COUNTBLANK(Entrants!B28)=0,'Entrant Data'!E15,""))</f>
        <v/>
      </c>
      <c r="F20" s="21" t="str">
        <f>IF(Major_Errors&gt;0,"",IF(COUNTBLANK(Entrants!C28)=0,'Entrant Data'!F15,""))</f>
        <v/>
      </c>
      <c r="G20" s="25" t="str">
        <f>IF(Major_Errors&gt;0,"",IF(COUNTBLANK(Entrants!D28)=0,Entrants!D28,""))</f>
        <v/>
      </c>
      <c r="H20" s="23" t="str">
        <f>IF(Major_Errors&gt;0,"",IF(COUNTBLANK(Entrants!E28)=0,Entrants!E28,""))</f>
        <v/>
      </c>
      <c r="I20" s="23" t="str">
        <f>IF(Major_Errors&gt;0,"",IF(COUNTBLANK(Entrants!F28)=0,Entrants!F28,""))</f>
        <v/>
      </c>
      <c r="J20" s="23" t="str">
        <f>IF(Major_Errors&gt;0,"",IF(Entrants!G28="y","Y",IF(Entrants!G28="n","N",IF(COUNTBLANK(Entrants!G28)=0,Entrants!G28,""))))</f>
        <v/>
      </c>
      <c r="K20" s="23" t="str">
        <f>IF(Major_Errors&gt;0,"",IF(COUNTBLANK(Entrants!I28)=0,Entrants!E69,""))</f>
        <v/>
      </c>
      <c r="L20" s="23" t="str">
        <f>IF(Major_Errors&gt;0,"",IF(COUNTBLANK(Entrants!J28)=0,"R",""))</f>
        <v/>
      </c>
      <c r="M20" s="23" t="str">
        <f>IF(Major_Errors&gt;0,"",IF(COUNTBLANK(E20)=1,"",IF(Entrants!K28="x","X","")))</f>
        <v/>
      </c>
      <c r="N20" s="23" t="str">
        <f>IF(Major_Errors&gt;0,"",IF(COUNTBLANK(E20)=1,"",IF(Entrants!K28="n","N","")))</f>
        <v/>
      </c>
      <c r="O20" s="29" t="str">
        <f>IF(Major_Errors&gt;0,"",IF(COUNTBLANK(Entrants!L28)=0,O$8,""))</f>
        <v/>
      </c>
      <c r="P20" s="29" t="str">
        <f>IF(Major_Errors&gt;0,"",IF(COUNTBLANK(Entrants!M28)=0,P$8,""))</f>
        <v/>
      </c>
      <c r="Q20" s="29" t="str">
        <f>IF(Major_Errors&gt;0,"",IF(COUNTBLANK(Entrants!N28)=0,Q$8,""))</f>
        <v/>
      </c>
      <c r="R20" s="29" t="str">
        <f>IF(Major_Errors&gt;0,"",IF(COUNTBLANK(Entrants!O28)=0,R$8,""))</f>
        <v/>
      </c>
      <c r="S20" s="29" t="str">
        <f>IF(Major_Errors&gt;0,"",IF(COUNTBLANK(Entrants!P28)=0,S$8,""))</f>
        <v/>
      </c>
      <c r="T20" s="29" t="str">
        <f>IF(Major_Errors&gt;0,"",IF(COUNTBLANK(Entrants!Q28)=0,T$8,""))</f>
        <v/>
      </c>
      <c r="U20" s="29" t="str">
        <f>IF(Major_Errors&gt;0,"",IF(Entrants!R28="Open",U$8,""))</f>
        <v/>
      </c>
      <c r="V20" s="29" t="str">
        <f>IF(Major_Errors&gt;0,"",IF(Entrants!R28="Sporter",U$8,""))</f>
        <v/>
      </c>
      <c r="W20" s="21" t="str">
        <f>IF(Major_Errors&gt;0,"",IF(COUNTBLANK(Entrants!T28)=0,Entrants!T28,""))</f>
        <v/>
      </c>
      <c r="X20" s="29" t="str">
        <f>IF(Major_Errors&gt;0,"",IF(COUNTBLANK(Entrants!U28)=0,X$8,""))</f>
        <v/>
      </c>
      <c r="Y20" s="29" t="str">
        <f>IF(Major_Errors&gt;0,"",IF(COUNTBLANK(Entrants!V28)=0,X$8,""))</f>
        <v/>
      </c>
      <c r="Z20" s="29" t="str">
        <f>IF(Major_Errors&gt;0,"",IF(OR(Entrants!W28="a",Entrants!W28="A"),Z$8,""))</f>
        <v/>
      </c>
      <c r="AA20" s="29" t="str">
        <f>IF(Major_Errors&gt;0,"",IF(OR(Entrants!W28="b",Entrants!W28="B"),Z$8,""))</f>
        <v/>
      </c>
      <c r="AB20" s="29" t="str">
        <f>IF(Major_Errors&gt;0,"",IF(Entrants!$X28="A",AB$8,""))</f>
        <v/>
      </c>
      <c r="AC20" s="29" t="str">
        <f>IF(Major_Errors&gt;0,"",IF(Entrants!$X28="B",AC$8,""))</f>
        <v/>
      </c>
      <c r="AD20" s="245" t="str">
        <f>IF(Major_Errors&gt;0,"",IF(Entrants!$X28="X",AD$8,""))</f>
        <v/>
      </c>
      <c r="AE20" s="330">
        <f t="shared" si="3"/>
        <v>0</v>
      </c>
      <c r="AF20" s="332">
        <f t="shared" si="4"/>
        <v>0</v>
      </c>
    </row>
    <row r="21" spans="1:32" ht="13.5" x14ac:dyDescent="0.25">
      <c r="A21" s="193" t="str">
        <f t="shared" si="0"/>
        <v/>
      </c>
      <c r="B21" s="237">
        <f t="shared" si="1"/>
        <v>0</v>
      </c>
      <c r="C21" s="193">
        <f t="shared" si="2"/>
        <v>0</v>
      </c>
      <c r="D21" s="193"/>
      <c r="E21" s="244" t="str">
        <f>IF(Major_Errors&gt;0,"",IF(COUNTBLANK(Entrants!B29)=0,'Entrant Data'!E16,""))</f>
        <v/>
      </c>
      <c r="F21" s="21" t="str">
        <f>IF(Major_Errors&gt;0,"",IF(COUNTBLANK(Entrants!C29)=0,'Entrant Data'!F16,""))</f>
        <v/>
      </c>
      <c r="G21" s="25" t="str">
        <f>IF(Major_Errors&gt;0,"",IF(COUNTBLANK(Entrants!D29)=0,Entrants!D29,""))</f>
        <v/>
      </c>
      <c r="H21" s="23" t="str">
        <f>IF(Major_Errors&gt;0,"",IF(COUNTBLANK(Entrants!E29)=0,Entrants!E29,""))</f>
        <v/>
      </c>
      <c r="I21" s="23" t="str">
        <f>IF(Major_Errors&gt;0,"",IF(COUNTBLANK(Entrants!F29)=0,Entrants!F29,""))</f>
        <v/>
      </c>
      <c r="J21" s="23" t="str">
        <f>IF(Major_Errors&gt;0,"",IF(Entrants!G29="y","Y",IF(Entrants!G29="n","N",IF(COUNTBLANK(Entrants!G29)=0,Entrants!G29,""))))</f>
        <v/>
      </c>
      <c r="K21" s="23" t="str">
        <f>IF(Major_Errors&gt;0,"",IF(COUNTBLANK(Entrants!I29)=0,Entrants!E70,""))</f>
        <v/>
      </c>
      <c r="L21" s="23" t="str">
        <f>IF(Major_Errors&gt;0,"",IF(COUNTBLANK(Entrants!J29)=0,"R",""))</f>
        <v/>
      </c>
      <c r="M21" s="23" t="str">
        <f>IF(Major_Errors&gt;0,"",IF(COUNTBLANK(E21)=1,"",IF(Entrants!K29="x","X","")))</f>
        <v/>
      </c>
      <c r="N21" s="23" t="str">
        <f>IF(Major_Errors&gt;0,"",IF(COUNTBLANK(E21)=1,"",IF(Entrants!K29="n","N","")))</f>
        <v/>
      </c>
      <c r="O21" s="29" t="str">
        <f>IF(Major_Errors&gt;0,"",IF(COUNTBLANK(Entrants!L29)=0,O$8,""))</f>
        <v/>
      </c>
      <c r="P21" s="29" t="str">
        <f>IF(Major_Errors&gt;0,"",IF(COUNTBLANK(Entrants!M29)=0,P$8,""))</f>
        <v/>
      </c>
      <c r="Q21" s="29" t="str">
        <f>IF(Major_Errors&gt;0,"",IF(COUNTBLANK(Entrants!N29)=0,Q$8,""))</f>
        <v/>
      </c>
      <c r="R21" s="29" t="str">
        <f>IF(Major_Errors&gt;0,"",IF(COUNTBLANK(Entrants!O29)=0,R$8,""))</f>
        <v/>
      </c>
      <c r="S21" s="29" t="str">
        <f>IF(Major_Errors&gt;0,"",IF(COUNTBLANK(Entrants!P29)=0,S$8,""))</f>
        <v/>
      </c>
      <c r="T21" s="29" t="str">
        <f>IF(Major_Errors&gt;0,"",IF(COUNTBLANK(Entrants!Q29)=0,T$8,""))</f>
        <v/>
      </c>
      <c r="U21" s="29" t="str">
        <f>IF(Major_Errors&gt;0,"",IF(Entrants!R29="Open",U$8,""))</f>
        <v/>
      </c>
      <c r="V21" s="29" t="str">
        <f>IF(Major_Errors&gt;0,"",IF(Entrants!R29="Sporter",U$8,""))</f>
        <v/>
      </c>
      <c r="W21" s="21" t="str">
        <f>IF(Major_Errors&gt;0,"",IF(COUNTBLANK(Entrants!T29)=0,Entrants!T29,""))</f>
        <v/>
      </c>
      <c r="X21" s="29" t="str">
        <f>IF(Major_Errors&gt;0,"",IF(COUNTBLANK(Entrants!U29)=0,X$8,""))</f>
        <v/>
      </c>
      <c r="Y21" s="29" t="str">
        <f>IF(Major_Errors&gt;0,"",IF(COUNTBLANK(Entrants!V29)=0,X$8,""))</f>
        <v/>
      </c>
      <c r="Z21" s="29" t="str">
        <f>IF(Major_Errors&gt;0,"",IF(OR(Entrants!W29="a",Entrants!W29="A"),Z$8,""))</f>
        <v/>
      </c>
      <c r="AA21" s="29" t="str">
        <f>IF(Major_Errors&gt;0,"",IF(OR(Entrants!W29="b",Entrants!W29="B"),Z$8,""))</f>
        <v/>
      </c>
      <c r="AB21" s="29" t="str">
        <f>IF(Major_Errors&gt;0,"",IF(Entrants!$X29="A",AB$8,""))</f>
        <v/>
      </c>
      <c r="AC21" s="29" t="str">
        <f>IF(Major_Errors&gt;0,"",IF(Entrants!$X29="B",AC$8,""))</f>
        <v/>
      </c>
      <c r="AD21" s="245" t="str">
        <f>IF(Major_Errors&gt;0,"",IF(Entrants!$X29="X",AD$8,""))</f>
        <v/>
      </c>
      <c r="AE21" s="330">
        <f t="shared" si="3"/>
        <v>0</v>
      </c>
      <c r="AF21" s="332">
        <f t="shared" si="4"/>
        <v>0</v>
      </c>
    </row>
    <row r="22" spans="1:32" ht="13.5" x14ac:dyDescent="0.25">
      <c r="A22" s="193" t="str">
        <f t="shared" si="0"/>
        <v/>
      </c>
      <c r="B22" s="237">
        <f t="shared" si="1"/>
        <v>0</v>
      </c>
      <c r="C22" s="193">
        <f t="shared" si="2"/>
        <v>0</v>
      </c>
      <c r="D22" s="193"/>
      <c r="E22" s="244" t="str">
        <f>IF(Major_Errors&gt;0,"",IF(COUNTBLANK(Entrants!B30)=0,'Entrant Data'!E17,""))</f>
        <v/>
      </c>
      <c r="F22" s="21" t="str">
        <f>IF(Major_Errors&gt;0,"",IF(COUNTBLANK(Entrants!C30)=0,'Entrant Data'!F17,""))</f>
        <v/>
      </c>
      <c r="G22" s="25" t="str">
        <f>IF(Major_Errors&gt;0,"",IF(COUNTBLANK(Entrants!D30)=0,Entrants!D30,""))</f>
        <v/>
      </c>
      <c r="H22" s="23" t="str">
        <f>IF(Major_Errors&gt;0,"",IF(COUNTBLANK(Entrants!E30)=0,Entrants!E30,""))</f>
        <v/>
      </c>
      <c r="I22" s="23" t="str">
        <f>IF(Major_Errors&gt;0,"",IF(COUNTBLANK(Entrants!F30)=0,Entrants!F30,""))</f>
        <v/>
      </c>
      <c r="J22" s="23" t="str">
        <f>IF(Major_Errors&gt;0,"",IF(Entrants!G30="y","Y",IF(Entrants!G30="n","N",IF(COUNTBLANK(Entrants!G30)=0,Entrants!G30,""))))</f>
        <v/>
      </c>
      <c r="K22" s="23" t="str">
        <f>IF(Major_Errors&gt;0,"",IF(COUNTBLANK(Entrants!I30)=0,Entrants!E71,""))</f>
        <v/>
      </c>
      <c r="L22" s="23" t="str">
        <f>IF(Major_Errors&gt;0,"",IF(COUNTBLANK(Entrants!J30)=0,"R",""))</f>
        <v/>
      </c>
      <c r="M22" s="23" t="str">
        <f>IF(Major_Errors&gt;0,"",IF(COUNTBLANK(E22)=1,"",IF(Entrants!K30="x","X","")))</f>
        <v/>
      </c>
      <c r="N22" s="23" t="str">
        <f>IF(Major_Errors&gt;0,"",IF(COUNTBLANK(E22)=1,"",IF(Entrants!K30="n","N","")))</f>
        <v/>
      </c>
      <c r="O22" s="29" t="str">
        <f>IF(Major_Errors&gt;0,"",IF(COUNTBLANK(Entrants!L30)=0,O$8,""))</f>
        <v/>
      </c>
      <c r="P22" s="29" t="str">
        <f>IF(Major_Errors&gt;0,"",IF(COUNTBLANK(Entrants!M30)=0,P$8,""))</f>
        <v/>
      </c>
      <c r="Q22" s="29" t="str">
        <f>IF(Major_Errors&gt;0,"",IF(COUNTBLANK(Entrants!N30)=0,Q$8,""))</f>
        <v/>
      </c>
      <c r="R22" s="29" t="str">
        <f>IF(Major_Errors&gt;0,"",IF(COUNTBLANK(Entrants!O30)=0,R$8,""))</f>
        <v/>
      </c>
      <c r="S22" s="29" t="str">
        <f>IF(Major_Errors&gt;0,"",IF(COUNTBLANK(Entrants!P30)=0,S$8,""))</f>
        <v/>
      </c>
      <c r="T22" s="29" t="str">
        <f>IF(Major_Errors&gt;0,"",IF(COUNTBLANK(Entrants!Q30)=0,T$8,""))</f>
        <v/>
      </c>
      <c r="U22" s="29" t="str">
        <f>IF(Major_Errors&gt;0,"",IF(Entrants!R30="Open",U$8,""))</f>
        <v/>
      </c>
      <c r="V22" s="29" t="str">
        <f>IF(Major_Errors&gt;0,"",IF(Entrants!R30="Sporter",U$8,""))</f>
        <v/>
      </c>
      <c r="W22" s="21" t="str">
        <f>IF(Major_Errors&gt;0,"",IF(COUNTBLANK(Entrants!T30)=0,Entrants!T30,""))</f>
        <v/>
      </c>
      <c r="X22" s="29" t="str">
        <f>IF(Major_Errors&gt;0,"",IF(COUNTBLANK(Entrants!U30)=0,X$8,""))</f>
        <v/>
      </c>
      <c r="Y22" s="29" t="str">
        <f>IF(Major_Errors&gt;0,"",IF(COUNTBLANK(Entrants!V30)=0,X$8,""))</f>
        <v/>
      </c>
      <c r="Z22" s="29" t="str">
        <f>IF(Major_Errors&gt;0,"",IF(OR(Entrants!W30="a",Entrants!W30="A"),Z$8,""))</f>
        <v/>
      </c>
      <c r="AA22" s="29" t="str">
        <f>IF(Major_Errors&gt;0,"",IF(OR(Entrants!W30="b",Entrants!W30="B"),Z$8,""))</f>
        <v/>
      </c>
      <c r="AB22" s="29" t="str">
        <f>IF(Major_Errors&gt;0,"",IF(Entrants!$X30="A",AB$8,""))</f>
        <v/>
      </c>
      <c r="AC22" s="29" t="str">
        <f>IF(Major_Errors&gt;0,"",IF(Entrants!$X30="B",AC$8,""))</f>
        <v/>
      </c>
      <c r="AD22" s="245" t="str">
        <f>IF(Major_Errors&gt;0,"",IF(Entrants!$X30="X",AD$8,""))</f>
        <v/>
      </c>
      <c r="AE22" s="330">
        <f t="shared" si="3"/>
        <v>0</v>
      </c>
      <c r="AF22" s="332">
        <f t="shared" si="4"/>
        <v>0</v>
      </c>
    </row>
    <row r="23" spans="1:32" ht="13.5" x14ac:dyDescent="0.25">
      <c r="A23" s="193" t="str">
        <f t="shared" si="0"/>
        <v/>
      </c>
      <c r="B23" s="237">
        <f t="shared" si="1"/>
        <v>0</v>
      </c>
      <c r="C23" s="193">
        <f t="shared" si="2"/>
        <v>0</v>
      </c>
      <c r="D23" s="193"/>
      <c r="E23" s="244" t="str">
        <f>IF(Major_Errors&gt;0,"",IF(COUNTBLANK(Entrants!B31)=0,'Entrant Data'!E18,""))</f>
        <v/>
      </c>
      <c r="F23" s="21" t="str">
        <f>IF(Major_Errors&gt;0,"",IF(COUNTBLANK(Entrants!C31)=0,'Entrant Data'!F18,""))</f>
        <v/>
      </c>
      <c r="G23" s="25" t="str">
        <f>IF(Major_Errors&gt;0,"",IF(COUNTBLANK(Entrants!D31)=0,Entrants!D31,""))</f>
        <v/>
      </c>
      <c r="H23" s="23" t="str">
        <f>IF(Major_Errors&gt;0,"",IF(COUNTBLANK(Entrants!E31)=0,Entrants!E31,""))</f>
        <v/>
      </c>
      <c r="I23" s="23" t="str">
        <f>IF(Major_Errors&gt;0,"",IF(COUNTBLANK(Entrants!F31)=0,Entrants!F31,""))</f>
        <v/>
      </c>
      <c r="J23" s="23" t="str">
        <f>IF(Major_Errors&gt;0,"",IF(Entrants!G31="y","Y",IF(Entrants!G31="n","N",IF(COUNTBLANK(Entrants!G31)=0,Entrants!G31,""))))</f>
        <v/>
      </c>
      <c r="K23" s="23" t="str">
        <f>IF(Major_Errors&gt;0,"",IF(COUNTBLANK(Entrants!I31)=0,Entrants!E72,""))</f>
        <v/>
      </c>
      <c r="L23" s="23" t="str">
        <f>IF(Major_Errors&gt;0,"",IF(COUNTBLANK(Entrants!J31)=0,"R",""))</f>
        <v/>
      </c>
      <c r="M23" s="23" t="str">
        <f>IF(Major_Errors&gt;0,"",IF(COUNTBLANK(E23)=1,"",IF(Entrants!K31="x","X","")))</f>
        <v/>
      </c>
      <c r="N23" s="23" t="str">
        <f>IF(Major_Errors&gt;0,"",IF(COUNTBLANK(E23)=1,"",IF(Entrants!K31="n","N","")))</f>
        <v/>
      </c>
      <c r="O23" s="29" t="str">
        <f>IF(Major_Errors&gt;0,"",IF(COUNTBLANK(Entrants!L31)=0,O$8,""))</f>
        <v/>
      </c>
      <c r="P23" s="29" t="str">
        <f>IF(Major_Errors&gt;0,"",IF(COUNTBLANK(Entrants!M31)=0,P$8,""))</f>
        <v/>
      </c>
      <c r="Q23" s="29" t="str">
        <f>IF(Major_Errors&gt;0,"",IF(COUNTBLANK(Entrants!N31)=0,Q$8,""))</f>
        <v/>
      </c>
      <c r="R23" s="29" t="str">
        <f>IF(Major_Errors&gt;0,"",IF(COUNTBLANK(Entrants!O31)=0,R$8,""))</f>
        <v/>
      </c>
      <c r="S23" s="29" t="str">
        <f>IF(Major_Errors&gt;0,"",IF(COUNTBLANK(Entrants!P31)=0,S$8,""))</f>
        <v/>
      </c>
      <c r="T23" s="29" t="str">
        <f>IF(Major_Errors&gt;0,"",IF(COUNTBLANK(Entrants!Q31)=0,T$8,""))</f>
        <v/>
      </c>
      <c r="U23" s="29" t="str">
        <f>IF(Major_Errors&gt;0,"",IF(Entrants!R31="Open",U$8,""))</f>
        <v/>
      </c>
      <c r="V23" s="29" t="str">
        <f>IF(Major_Errors&gt;0,"",IF(Entrants!R31="Sporter",U$8,""))</f>
        <v/>
      </c>
      <c r="W23" s="21" t="str">
        <f>IF(Major_Errors&gt;0,"",IF(COUNTBLANK(Entrants!T31)=0,Entrants!T31,""))</f>
        <v/>
      </c>
      <c r="X23" s="29" t="str">
        <f>IF(Major_Errors&gt;0,"",IF(COUNTBLANK(Entrants!U31)=0,X$8,""))</f>
        <v/>
      </c>
      <c r="Y23" s="29" t="str">
        <f>IF(Major_Errors&gt;0,"",IF(COUNTBLANK(Entrants!V31)=0,X$8,""))</f>
        <v/>
      </c>
      <c r="Z23" s="29" t="str">
        <f>IF(Major_Errors&gt;0,"",IF(OR(Entrants!W31="a",Entrants!W31="A"),Z$8,""))</f>
        <v/>
      </c>
      <c r="AA23" s="29" t="str">
        <f>IF(Major_Errors&gt;0,"",IF(OR(Entrants!W31="b",Entrants!W31="B"),Z$8,""))</f>
        <v/>
      </c>
      <c r="AB23" s="29" t="str">
        <f>IF(Major_Errors&gt;0,"",IF(Entrants!$X31="A",AB$8,""))</f>
        <v/>
      </c>
      <c r="AC23" s="29" t="str">
        <f>IF(Major_Errors&gt;0,"",IF(Entrants!$X31="B",AC$8,""))</f>
        <v/>
      </c>
      <c r="AD23" s="245" t="str">
        <f>IF(Major_Errors&gt;0,"",IF(Entrants!$X31="X",AD$8,""))</f>
        <v/>
      </c>
      <c r="AE23" s="330">
        <f t="shared" si="3"/>
        <v>0</v>
      </c>
      <c r="AF23" s="332">
        <f t="shared" si="4"/>
        <v>0</v>
      </c>
    </row>
    <row r="24" spans="1:32" ht="13.5" x14ac:dyDescent="0.25">
      <c r="A24" s="193" t="str">
        <f t="shared" si="0"/>
        <v/>
      </c>
      <c r="B24" s="237">
        <f t="shared" si="1"/>
        <v>0</v>
      </c>
      <c r="C24" s="193">
        <f t="shared" si="2"/>
        <v>0</v>
      </c>
      <c r="D24" s="193"/>
      <c r="E24" s="244" t="str">
        <f>IF(Major_Errors&gt;0,"",IF(COUNTBLANK(Entrants!B32)=0,'Entrant Data'!E19,""))</f>
        <v/>
      </c>
      <c r="F24" s="21" t="str">
        <f>IF(Major_Errors&gt;0,"",IF(COUNTBLANK(Entrants!C32)=0,'Entrant Data'!F19,""))</f>
        <v/>
      </c>
      <c r="G24" s="25" t="str">
        <f>IF(Major_Errors&gt;0,"",IF(COUNTBLANK(Entrants!D32)=0,Entrants!D32,""))</f>
        <v/>
      </c>
      <c r="H24" s="23" t="str">
        <f>IF(Major_Errors&gt;0,"",IF(COUNTBLANK(Entrants!E32)=0,Entrants!E32,""))</f>
        <v/>
      </c>
      <c r="I24" s="23" t="str">
        <f>IF(Major_Errors&gt;0,"",IF(COUNTBLANK(Entrants!F32)=0,Entrants!F32,""))</f>
        <v/>
      </c>
      <c r="J24" s="23" t="str">
        <f>IF(Major_Errors&gt;0,"",IF(Entrants!G32="y","Y",IF(Entrants!G32="n","N",IF(COUNTBLANK(Entrants!G32)=0,Entrants!G32,""))))</f>
        <v/>
      </c>
      <c r="K24" s="23" t="str">
        <f>IF(Major_Errors&gt;0,"",IF(COUNTBLANK(Entrants!I32)=0,Entrants!E73,""))</f>
        <v/>
      </c>
      <c r="L24" s="23" t="str">
        <f>IF(Major_Errors&gt;0,"",IF(COUNTBLANK(Entrants!J32)=0,"R",""))</f>
        <v/>
      </c>
      <c r="M24" s="23" t="str">
        <f>IF(Major_Errors&gt;0,"",IF(COUNTBLANK(E24)=1,"",IF(Entrants!K32="x","X","")))</f>
        <v/>
      </c>
      <c r="N24" s="23" t="str">
        <f>IF(Major_Errors&gt;0,"",IF(COUNTBLANK(E24)=1,"",IF(Entrants!K32="n","N","")))</f>
        <v/>
      </c>
      <c r="O24" s="29" t="str">
        <f>IF(Major_Errors&gt;0,"",IF(COUNTBLANK(Entrants!L32)=0,O$8,""))</f>
        <v/>
      </c>
      <c r="P24" s="29" t="str">
        <f>IF(Major_Errors&gt;0,"",IF(COUNTBLANK(Entrants!M32)=0,P$8,""))</f>
        <v/>
      </c>
      <c r="Q24" s="29" t="str">
        <f>IF(Major_Errors&gt;0,"",IF(COUNTBLANK(Entrants!N32)=0,Q$8,""))</f>
        <v/>
      </c>
      <c r="R24" s="29" t="str">
        <f>IF(Major_Errors&gt;0,"",IF(COUNTBLANK(Entrants!O32)=0,R$8,""))</f>
        <v/>
      </c>
      <c r="S24" s="29" t="str">
        <f>IF(Major_Errors&gt;0,"",IF(COUNTBLANK(Entrants!P32)=0,S$8,""))</f>
        <v/>
      </c>
      <c r="T24" s="29" t="str">
        <f>IF(Major_Errors&gt;0,"",IF(COUNTBLANK(Entrants!Q32)=0,T$8,""))</f>
        <v/>
      </c>
      <c r="U24" s="29" t="str">
        <f>IF(Major_Errors&gt;0,"",IF(Entrants!R32="Open",U$8,""))</f>
        <v/>
      </c>
      <c r="V24" s="29" t="str">
        <f>IF(Major_Errors&gt;0,"",IF(Entrants!R32="Sporter",U$8,""))</f>
        <v/>
      </c>
      <c r="W24" s="21" t="str">
        <f>IF(Major_Errors&gt;0,"",IF(COUNTBLANK(Entrants!T32)=0,Entrants!T32,""))</f>
        <v/>
      </c>
      <c r="X24" s="29" t="str">
        <f>IF(Major_Errors&gt;0,"",IF(COUNTBLANK(Entrants!U32)=0,X$8,""))</f>
        <v/>
      </c>
      <c r="Y24" s="29" t="str">
        <f>IF(Major_Errors&gt;0,"",IF(COUNTBLANK(Entrants!V32)=0,X$8,""))</f>
        <v/>
      </c>
      <c r="Z24" s="29" t="str">
        <f>IF(Major_Errors&gt;0,"",IF(OR(Entrants!W32="a",Entrants!W32="A"),Z$8,""))</f>
        <v/>
      </c>
      <c r="AA24" s="29" t="str">
        <f>IF(Major_Errors&gt;0,"",IF(OR(Entrants!W32="b",Entrants!W32="B"),Z$8,""))</f>
        <v/>
      </c>
      <c r="AB24" s="29" t="str">
        <f>IF(Major_Errors&gt;0,"",IF(Entrants!$X32="A",AB$8,""))</f>
        <v/>
      </c>
      <c r="AC24" s="29" t="str">
        <f>IF(Major_Errors&gt;0,"",IF(Entrants!$X32="B",AC$8,""))</f>
        <v/>
      </c>
      <c r="AD24" s="245" t="str">
        <f>IF(Major_Errors&gt;0,"",IF(Entrants!$X32="X",AD$8,""))</f>
        <v/>
      </c>
      <c r="AE24" s="330">
        <f t="shared" si="3"/>
        <v>0</v>
      </c>
      <c r="AF24" s="332">
        <f t="shared" si="4"/>
        <v>0</v>
      </c>
    </row>
    <row r="25" spans="1:32" ht="13.5" x14ac:dyDescent="0.25">
      <c r="A25" s="193" t="str">
        <f t="shared" si="0"/>
        <v/>
      </c>
      <c r="B25" s="237">
        <f t="shared" si="1"/>
        <v>0</v>
      </c>
      <c r="C25" s="193">
        <f t="shared" si="2"/>
        <v>0</v>
      </c>
      <c r="D25" s="193"/>
      <c r="E25" s="244" t="str">
        <f>IF(Major_Errors&gt;0,"",IF(COUNTBLANK(Entrants!B33)=0,'Entrant Data'!E20,""))</f>
        <v/>
      </c>
      <c r="F25" s="21" t="str">
        <f>IF(Major_Errors&gt;0,"",IF(COUNTBLANK(Entrants!C33)=0,'Entrant Data'!F20,""))</f>
        <v/>
      </c>
      <c r="G25" s="25" t="str">
        <f>IF(Major_Errors&gt;0,"",IF(COUNTBLANK(Entrants!D33)=0,Entrants!D33,""))</f>
        <v/>
      </c>
      <c r="H25" s="23" t="str">
        <f>IF(Major_Errors&gt;0,"",IF(COUNTBLANK(Entrants!E33)=0,Entrants!E33,""))</f>
        <v/>
      </c>
      <c r="I25" s="23" t="str">
        <f>IF(Major_Errors&gt;0,"",IF(COUNTBLANK(Entrants!F33)=0,Entrants!F33,""))</f>
        <v/>
      </c>
      <c r="J25" s="23" t="str">
        <f>IF(Major_Errors&gt;0,"",IF(Entrants!G33="y","Y",IF(Entrants!G33="n","N",IF(COUNTBLANK(Entrants!G33)=0,Entrants!G33,""))))</f>
        <v/>
      </c>
      <c r="K25" s="23" t="str">
        <f>IF(Major_Errors&gt;0,"",IF(COUNTBLANK(Entrants!I33)=0,Entrants!E74,""))</f>
        <v/>
      </c>
      <c r="L25" s="23" t="str">
        <f>IF(Major_Errors&gt;0,"",IF(COUNTBLANK(Entrants!J33)=0,"R",""))</f>
        <v/>
      </c>
      <c r="M25" s="23" t="str">
        <f>IF(Major_Errors&gt;0,"",IF(COUNTBLANK(E25)=1,"",IF(Entrants!K33="x","X","")))</f>
        <v/>
      </c>
      <c r="N25" s="23" t="str">
        <f>IF(Major_Errors&gt;0,"",IF(COUNTBLANK(E25)=1,"",IF(Entrants!K33="n","N","")))</f>
        <v/>
      </c>
      <c r="O25" s="29" t="str">
        <f>IF(Major_Errors&gt;0,"",IF(COUNTBLANK(Entrants!L33)=0,O$8,""))</f>
        <v/>
      </c>
      <c r="P25" s="29" t="str">
        <f>IF(Major_Errors&gt;0,"",IF(COUNTBLANK(Entrants!M33)=0,P$8,""))</f>
        <v/>
      </c>
      <c r="Q25" s="29" t="str">
        <f>IF(Major_Errors&gt;0,"",IF(COUNTBLANK(Entrants!N33)=0,Q$8,""))</f>
        <v/>
      </c>
      <c r="R25" s="29" t="str">
        <f>IF(Major_Errors&gt;0,"",IF(COUNTBLANK(Entrants!O33)=0,R$8,""))</f>
        <v/>
      </c>
      <c r="S25" s="29" t="str">
        <f>IF(Major_Errors&gt;0,"",IF(COUNTBLANK(Entrants!P33)=0,S$8,""))</f>
        <v/>
      </c>
      <c r="T25" s="29" t="str">
        <f>IF(Major_Errors&gt;0,"",IF(COUNTBLANK(Entrants!Q33)=0,T$8,""))</f>
        <v/>
      </c>
      <c r="U25" s="29" t="str">
        <f>IF(Major_Errors&gt;0,"",IF(Entrants!R33="Open",U$8,""))</f>
        <v/>
      </c>
      <c r="V25" s="29" t="str">
        <f>IF(Major_Errors&gt;0,"",IF(Entrants!R33="Sporter",U$8,""))</f>
        <v/>
      </c>
      <c r="W25" s="21" t="str">
        <f>IF(Major_Errors&gt;0,"",IF(COUNTBLANK(Entrants!T33)=0,Entrants!T33,""))</f>
        <v/>
      </c>
      <c r="X25" s="29" t="str">
        <f>IF(Major_Errors&gt;0,"",IF(COUNTBLANK(Entrants!U33)=0,X$8,""))</f>
        <v/>
      </c>
      <c r="Y25" s="29" t="str">
        <f>IF(Major_Errors&gt;0,"",IF(COUNTBLANK(Entrants!V33)=0,X$8,""))</f>
        <v/>
      </c>
      <c r="Z25" s="29" t="str">
        <f>IF(Major_Errors&gt;0,"",IF(OR(Entrants!W33="a",Entrants!W33="A"),Z$8,""))</f>
        <v/>
      </c>
      <c r="AA25" s="29" t="str">
        <f>IF(Major_Errors&gt;0,"",IF(OR(Entrants!W33="b",Entrants!W33="B"),Z$8,""))</f>
        <v/>
      </c>
      <c r="AB25" s="29" t="str">
        <f>IF(Major_Errors&gt;0,"",IF(Entrants!$X33="A",AB$8,""))</f>
        <v/>
      </c>
      <c r="AC25" s="29" t="str">
        <f>IF(Major_Errors&gt;0,"",IF(Entrants!$X33="B",AC$8,""))</f>
        <v/>
      </c>
      <c r="AD25" s="245" t="str">
        <f>IF(Major_Errors&gt;0,"",IF(Entrants!$X33="X",AD$8,""))</f>
        <v/>
      </c>
      <c r="AE25" s="330">
        <f t="shared" si="3"/>
        <v>0</v>
      </c>
      <c r="AF25" s="332">
        <f t="shared" si="4"/>
        <v>0</v>
      </c>
    </row>
    <row r="26" spans="1:32" ht="13.5" x14ac:dyDescent="0.25">
      <c r="A26" s="193" t="str">
        <f t="shared" si="0"/>
        <v/>
      </c>
      <c r="B26" s="237">
        <f t="shared" si="1"/>
        <v>0</v>
      </c>
      <c r="C26" s="193">
        <f t="shared" si="2"/>
        <v>0</v>
      </c>
      <c r="D26" s="193"/>
      <c r="E26" s="244" t="str">
        <f>IF(Major_Errors&gt;0,"",IF(COUNTBLANK(Entrants!B34)=0,'Entrant Data'!E21,""))</f>
        <v/>
      </c>
      <c r="F26" s="21" t="str">
        <f>IF(Major_Errors&gt;0,"",IF(COUNTBLANK(Entrants!C34)=0,'Entrant Data'!F21,""))</f>
        <v/>
      </c>
      <c r="G26" s="25" t="str">
        <f>IF(Major_Errors&gt;0,"",IF(COUNTBLANK(Entrants!D34)=0,Entrants!D34,""))</f>
        <v/>
      </c>
      <c r="H26" s="23" t="str">
        <f>IF(Major_Errors&gt;0,"",IF(COUNTBLANK(Entrants!E34)=0,Entrants!E34,""))</f>
        <v/>
      </c>
      <c r="I26" s="23" t="str">
        <f>IF(Major_Errors&gt;0,"",IF(COUNTBLANK(Entrants!F34)=0,Entrants!F34,""))</f>
        <v/>
      </c>
      <c r="J26" s="23" t="str">
        <f>IF(Major_Errors&gt;0,"",IF(Entrants!G34="y","Y",IF(Entrants!G34="n","N",IF(COUNTBLANK(Entrants!G34)=0,Entrants!G34,""))))</f>
        <v/>
      </c>
      <c r="K26" s="23" t="str">
        <f>IF(Major_Errors&gt;0,"",IF(COUNTBLANK(Entrants!I34)=0,Entrants!E75,""))</f>
        <v/>
      </c>
      <c r="L26" s="23" t="str">
        <f>IF(Major_Errors&gt;0,"",IF(COUNTBLANK(Entrants!J34)=0,"R",""))</f>
        <v/>
      </c>
      <c r="M26" s="23" t="str">
        <f>IF(Major_Errors&gt;0,"",IF(COUNTBLANK(E26)=1,"",IF(Entrants!K34="x","X","")))</f>
        <v/>
      </c>
      <c r="N26" s="23" t="str">
        <f>IF(Major_Errors&gt;0,"",IF(COUNTBLANK(E26)=1,"",IF(Entrants!K34="n","N","")))</f>
        <v/>
      </c>
      <c r="O26" s="29" t="str">
        <f>IF(Major_Errors&gt;0,"",IF(COUNTBLANK(Entrants!L34)=0,O$8,""))</f>
        <v/>
      </c>
      <c r="P26" s="29" t="str">
        <f>IF(Major_Errors&gt;0,"",IF(COUNTBLANK(Entrants!M34)=0,P$8,""))</f>
        <v/>
      </c>
      <c r="Q26" s="29" t="str">
        <f>IF(Major_Errors&gt;0,"",IF(COUNTBLANK(Entrants!N34)=0,Q$8,""))</f>
        <v/>
      </c>
      <c r="R26" s="29" t="str">
        <f>IF(Major_Errors&gt;0,"",IF(COUNTBLANK(Entrants!O34)=0,R$8,""))</f>
        <v/>
      </c>
      <c r="S26" s="29" t="str">
        <f>IF(Major_Errors&gt;0,"",IF(COUNTBLANK(Entrants!P34)=0,S$8,""))</f>
        <v/>
      </c>
      <c r="T26" s="29" t="str">
        <f>IF(Major_Errors&gt;0,"",IF(COUNTBLANK(Entrants!Q34)=0,T$8,""))</f>
        <v/>
      </c>
      <c r="U26" s="29" t="str">
        <f>IF(Major_Errors&gt;0,"",IF(Entrants!R34="Open",U$8,""))</f>
        <v/>
      </c>
      <c r="V26" s="29" t="str">
        <f>IF(Major_Errors&gt;0,"",IF(Entrants!R34="Sporter",U$8,""))</f>
        <v/>
      </c>
      <c r="W26" s="21" t="str">
        <f>IF(Major_Errors&gt;0,"",IF(COUNTBLANK(Entrants!T34)=0,Entrants!T34,""))</f>
        <v/>
      </c>
      <c r="X26" s="29" t="str">
        <f>IF(Major_Errors&gt;0,"",IF(COUNTBLANK(Entrants!U34)=0,X$8,""))</f>
        <v/>
      </c>
      <c r="Y26" s="29" t="str">
        <f>IF(Major_Errors&gt;0,"",IF(COUNTBLANK(Entrants!V34)=0,X$8,""))</f>
        <v/>
      </c>
      <c r="Z26" s="29" t="str">
        <f>IF(Major_Errors&gt;0,"",IF(OR(Entrants!W34="a",Entrants!W34="A"),Z$8,""))</f>
        <v/>
      </c>
      <c r="AA26" s="29" t="str">
        <f>IF(Major_Errors&gt;0,"",IF(OR(Entrants!W34="b",Entrants!W34="B"),Z$8,""))</f>
        <v/>
      </c>
      <c r="AB26" s="29" t="str">
        <f>IF(Major_Errors&gt;0,"",IF(Entrants!$X34="A",AB$8,""))</f>
        <v/>
      </c>
      <c r="AC26" s="29" t="str">
        <f>IF(Major_Errors&gt;0,"",IF(Entrants!$X34="B",AC$8,""))</f>
        <v/>
      </c>
      <c r="AD26" s="245" t="str">
        <f>IF(Major_Errors&gt;0,"",IF(Entrants!$X34="X",AD$8,""))</f>
        <v/>
      </c>
      <c r="AE26" s="330">
        <f t="shared" si="3"/>
        <v>0</v>
      </c>
      <c r="AF26" s="332">
        <f t="shared" si="4"/>
        <v>0</v>
      </c>
    </row>
    <row r="27" spans="1:32" ht="13.5" x14ac:dyDescent="0.25">
      <c r="A27" s="193" t="str">
        <f t="shared" si="0"/>
        <v/>
      </c>
      <c r="B27" s="237">
        <f t="shared" si="1"/>
        <v>0</v>
      </c>
      <c r="C27" s="193">
        <f t="shared" si="2"/>
        <v>0</v>
      </c>
      <c r="D27" s="193"/>
      <c r="E27" s="244" t="str">
        <f>IF(Major_Errors&gt;0,"",IF(COUNTBLANK(Entrants!B35)=0,'Entrant Data'!E22,""))</f>
        <v/>
      </c>
      <c r="F27" s="21" t="str">
        <f>IF(Major_Errors&gt;0,"",IF(COUNTBLANK(Entrants!C35)=0,'Entrant Data'!F22,""))</f>
        <v/>
      </c>
      <c r="G27" s="25" t="str">
        <f>IF(Major_Errors&gt;0,"",IF(COUNTBLANK(Entrants!D35)=0,Entrants!D35,""))</f>
        <v/>
      </c>
      <c r="H27" s="23" t="str">
        <f>IF(Major_Errors&gt;0,"",IF(COUNTBLANK(Entrants!E35)=0,Entrants!E35,""))</f>
        <v/>
      </c>
      <c r="I27" s="23" t="str">
        <f>IF(Major_Errors&gt;0,"",IF(COUNTBLANK(Entrants!F35)=0,Entrants!F35,""))</f>
        <v/>
      </c>
      <c r="J27" s="23" t="str">
        <f>IF(Major_Errors&gt;0,"",IF(Entrants!G35="y","Y",IF(Entrants!G35="n","N",IF(COUNTBLANK(Entrants!G35)=0,Entrants!G35,""))))</f>
        <v/>
      </c>
      <c r="K27" s="23" t="str">
        <f>IF(Major_Errors&gt;0,"",IF(COUNTBLANK(Entrants!I35)=0,Entrants!E76,""))</f>
        <v/>
      </c>
      <c r="L27" s="23" t="str">
        <f>IF(Major_Errors&gt;0,"",IF(COUNTBLANK(Entrants!J35)=0,"R",""))</f>
        <v/>
      </c>
      <c r="M27" s="23" t="str">
        <f>IF(Major_Errors&gt;0,"",IF(COUNTBLANK(E27)=1,"",IF(Entrants!K35="x","X","")))</f>
        <v/>
      </c>
      <c r="N27" s="23" t="str">
        <f>IF(Major_Errors&gt;0,"",IF(COUNTBLANK(E27)=1,"",IF(Entrants!K35="n","N","")))</f>
        <v/>
      </c>
      <c r="O27" s="29" t="str">
        <f>IF(Major_Errors&gt;0,"",IF(COUNTBLANK(Entrants!L35)=0,O$8,""))</f>
        <v/>
      </c>
      <c r="P27" s="29" t="str">
        <f>IF(Major_Errors&gt;0,"",IF(COUNTBLANK(Entrants!M35)=0,P$8,""))</f>
        <v/>
      </c>
      <c r="Q27" s="29" t="str">
        <f>IF(Major_Errors&gt;0,"",IF(COUNTBLANK(Entrants!N35)=0,Q$8,""))</f>
        <v/>
      </c>
      <c r="R27" s="29" t="str">
        <f>IF(Major_Errors&gt;0,"",IF(COUNTBLANK(Entrants!O35)=0,R$8,""))</f>
        <v/>
      </c>
      <c r="S27" s="29" t="str">
        <f>IF(Major_Errors&gt;0,"",IF(COUNTBLANK(Entrants!P35)=0,S$8,""))</f>
        <v/>
      </c>
      <c r="T27" s="29" t="str">
        <f>IF(Major_Errors&gt;0,"",IF(COUNTBLANK(Entrants!Q35)=0,T$8,""))</f>
        <v/>
      </c>
      <c r="U27" s="29" t="str">
        <f>IF(Major_Errors&gt;0,"",IF(Entrants!R35="Open",U$8,""))</f>
        <v/>
      </c>
      <c r="V27" s="29" t="str">
        <f>IF(Major_Errors&gt;0,"",IF(Entrants!R35="Sporter",U$8,""))</f>
        <v/>
      </c>
      <c r="W27" s="21" t="str">
        <f>IF(Major_Errors&gt;0,"",IF(COUNTBLANK(Entrants!T35)=0,Entrants!T35,""))</f>
        <v/>
      </c>
      <c r="X27" s="29" t="str">
        <f>IF(Major_Errors&gt;0,"",IF(COUNTBLANK(Entrants!U35)=0,X$8,""))</f>
        <v/>
      </c>
      <c r="Y27" s="29" t="str">
        <f>IF(Major_Errors&gt;0,"",IF(COUNTBLANK(Entrants!V35)=0,X$8,""))</f>
        <v/>
      </c>
      <c r="Z27" s="29" t="str">
        <f>IF(Major_Errors&gt;0,"",IF(OR(Entrants!W35="a",Entrants!W35="A"),Z$8,""))</f>
        <v/>
      </c>
      <c r="AA27" s="29" t="str">
        <f>IF(Major_Errors&gt;0,"",IF(OR(Entrants!W35="b",Entrants!W35="B"),Z$8,""))</f>
        <v/>
      </c>
      <c r="AB27" s="29" t="str">
        <f>IF(Major_Errors&gt;0,"",IF(Entrants!$X35="A",AB$8,""))</f>
        <v/>
      </c>
      <c r="AC27" s="29" t="str">
        <f>IF(Major_Errors&gt;0,"",IF(Entrants!$X35="B",AC$8,""))</f>
        <v/>
      </c>
      <c r="AD27" s="245" t="str">
        <f>IF(Major_Errors&gt;0,"",IF(Entrants!$X35="X",AD$8,""))</f>
        <v/>
      </c>
      <c r="AE27" s="330">
        <f t="shared" si="3"/>
        <v>0</v>
      </c>
      <c r="AF27" s="332">
        <f t="shared" si="4"/>
        <v>0</v>
      </c>
    </row>
    <row r="28" spans="1:32" ht="13.5" x14ac:dyDescent="0.25">
      <c r="A28" s="193" t="str">
        <f t="shared" si="0"/>
        <v/>
      </c>
      <c r="B28" s="237">
        <f t="shared" si="1"/>
        <v>0</v>
      </c>
      <c r="C28" s="193">
        <f t="shared" si="2"/>
        <v>0</v>
      </c>
      <c r="D28" s="193"/>
      <c r="E28" s="244" t="str">
        <f>IF(Major_Errors&gt;0,"",IF(COUNTBLANK(Entrants!B36)=0,'Entrant Data'!E23,""))</f>
        <v/>
      </c>
      <c r="F28" s="21" t="str">
        <f>IF(Major_Errors&gt;0,"",IF(COUNTBLANK(Entrants!C36)=0,'Entrant Data'!F23,""))</f>
        <v/>
      </c>
      <c r="G28" s="25" t="str">
        <f>IF(Major_Errors&gt;0,"",IF(COUNTBLANK(Entrants!D36)=0,Entrants!D36,""))</f>
        <v/>
      </c>
      <c r="H28" s="23" t="str">
        <f>IF(Major_Errors&gt;0,"",IF(COUNTBLANK(Entrants!E36)=0,Entrants!E36,""))</f>
        <v/>
      </c>
      <c r="I28" s="23" t="str">
        <f>IF(Major_Errors&gt;0,"",IF(COUNTBLANK(Entrants!F36)=0,Entrants!F36,""))</f>
        <v/>
      </c>
      <c r="J28" s="23" t="str">
        <f>IF(Major_Errors&gt;0,"",IF(Entrants!G36="y","Y",IF(Entrants!G36="n","N",IF(COUNTBLANK(Entrants!G36)=0,Entrants!G36,""))))</f>
        <v/>
      </c>
      <c r="K28" s="23" t="str">
        <f>IF(Major_Errors&gt;0,"",IF(COUNTBLANK(Entrants!I36)=0,Entrants!E77,""))</f>
        <v/>
      </c>
      <c r="L28" s="23" t="str">
        <f>IF(Major_Errors&gt;0,"",IF(COUNTBLANK(Entrants!J36)=0,"R",""))</f>
        <v/>
      </c>
      <c r="M28" s="23" t="str">
        <f>IF(Major_Errors&gt;0,"",IF(COUNTBLANK(E28)=1,"",IF(Entrants!K36="x","X","")))</f>
        <v/>
      </c>
      <c r="N28" s="23" t="str">
        <f>IF(Major_Errors&gt;0,"",IF(COUNTBLANK(E28)=1,"",IF(Entrants!K36="n","N","")))</f>
        <v/>
      </c>
      <c r="O28" s="29" t="str">
        <f>IF(Major_Errors&gt;0,"",IF(COUNTBLANK(Entrants!L36)=0,O$8,""))</f>
        <v/>
      </c>
      <c r="P28" s="29" t="str">
        <f>IF(Major_Errors&gt;0,"",IF(COUNTBLANK(Entrants!M36)=0,P$8,""))</f>
        <v/>
      </c>
      <c r="Q28" s="29" t="str">
        <f>IF(Major_Errors&gt;0,"",IF(COUNTBLANK(Entrants!N36)=0,Q$8,""))</f>
        <v/>
      </c>
      <c r="R28" s="29" t="str">
        <f>IF(Major_Errors&gt;0,"",IF(COUNTBLANK(Entrants!O36)=0,R$8,""))</f>
        <v/>
      </c>
      <c r="S28" s="29" t="str">
        <f>IF(Major_Errors&gt;0,"",IF(COUNTBLANK(Entrants!P36)=0,S$8,""))</f>
        <v/>
      </c>
      <c r="T28" s="29" t="str">
        <f>IF(Major_Errors&gt;0,"",IF(COUNTBLANK(Entrants!Q36)=0,T$8,""))</f>
        <v/>
      </c>
      <c r="U28" s="29" t="str">
        <f>IF(Major_Errors&gt;0,"",IF(Entrants!R36="Open",U$8,""))</f>
        <v/>
      </c>
      <c r="V28" s="29" t="str">
        <f>IF(Major_Errors&gt;0,"",IF(Entrants!R36="Sporter",U$8,""))</f>
        <v/>
      </c>
      <c r="W28" s="21" t="str">
        <f>IF(Major_Errors&gt;0,"",IF(COUNTBLANK(Entrants!T36)=0,Entrants!T36,""))</f>
        <v/>
      </c>
      <c r="X28" s="29" t="str">
        <f>IF(Major_Errors&gt;0,"",IF(COUNTBLANK(Entrants!U36)=0,X$8,""))</f>
        <v/>
      </c>
      <c r="Y28" s="29" t="str">
        <f>IF(Major_Errors&gt;0,"",IF(COUNTBLANK(Entrants!V36)=0,X$8,""))</f>
        <v/>
      </c>
      <c r="Z28" s="29" t="str">
        <f>IF(Major_Errors&gt;0,"",IF(OR(Entrants!W36="a",Entrants!W36="A"),Z$8,""))</f>
        <v/>
      </c>
      <c r="AA28" s="29" t="str">
        <f>IF(Major_Errors&gt;0,"",IF(OR(Entrants!W36="b",Entrants!W36="B"),Z$8,""))</f>
        <v/>
      </c>
      <c r="AB28" s="29" t="str">
        <f>IF(Major_Errors&gt;0,"",IF(Entrants!$X36="A",AB$8,""))</f>
        <v/>
      </c>
      <c r="AC28" s="29" t="str">
        <f>IF(Major_Errors&gt;0,"",IF(Entrants!$X36="B",AC$8,""))</f>
        <v/>
      </c>
      <c r="AD28" s="245" t="str">
        <f>IF(Major_Errors&gt;0,"",IF(Entrants!$X36="X",AD$8,""))</f>
        <v/>
      </c>
      <c r="AE28" s="330">
        <f t="shared" si="3"/>
        <v>0</v>
      </c>
      <c r="AF28" s="332">
        <f t="shared" si="4"/>
        <v>0</v>
      </c>
    </row>
    <row r="29" spans="1:32" ht="13.5" x14ac:dyDescent="0.25">
      <c r="A29" s="193" t="str">
        <f t="shared" si="0"/>
        <v/>
      </c>
      <c r="B29" s="237">
        <f t="shared" si="1"/>
        <v>0</v>
      </c>
      <c r="C29" s="193">
        <f t="shared" si="2"/>
        <v>0</v>
      </c>
      <c r="D29" s="193"/>
      <c r="E29" s="244" t="str">
        <f>IF(Major_Errors&gt;0,"",IF(COUNTBLANK(Entrants!B37)=0,'Entrant Data'!E24,""))</f>
        <v/>
      </c>
      <c r="F29" s="21" t="str">
        <f>IF(Major_Errors&gt;0,"",IF(COUNTBLANK(Entrants!C37)=0,'Entrant Data'!F24,""))</f>
        <v/>
      </c>
      <c r="G29" s="25" t="str">
        <f>IF(Major_Errors&gt;0,"",IF(COUNTBLANK(Entrants!D37)=0,Entrants!D37,""))</f>
        <v/>
      </c>
      <c r="H29" s="23" t="str">
        <f>IF(Major_Errors&gt;0,"",IF(COUNTBLANK(Entrants!E37)=0,Entrants!E37,""))</f>
        <v/>
      </c>
      <c r="I29" s="23" t="str">
        <f>IF(Major_Errors&gt;0,"",IF(COUNTBLANK(Entrants!F37)=0,Entrants!F37,""))</f>
        <v/>
      </c>
      <c r="J29" s="23" t="str">
        <f>IF(Major_Errors&gt;0,"",IF(Entrants!G37="y","Y",IF(Entrants!G37="n","N",IF(COUNTBLANK(Entrants!G37)=0,Entrants!G37,""))))</f>
        <v/>
      </c>
      <c r="K29" s="23" t="str">
        <f>IF(Major_Errors&gt;0,"",IF(COUNTBLANK(Entrants!I37)=0,Entrants!E78,""))</f>
        <v/>
      </c>
      <c r="L29" s="23" t="str">
        <f>IF(Major_Errors&gt;0,"",IF(COUNTBLANK(Entrants!J37)=0,"R",""))</f>
        <v/>
      </c>
      <c r="M29" s="23" t="str">
        <f>IF(Major_Errors&gt;0,"",IF(COUNTBLANK(E29)=1,"",IF(Entrants!K37="x","X","")))</f>
        <v/>
      </c>
      <c r="N29" s="23" t="str">
        <f>IF(Major_Errors&gt;0,"",IF(COUNTBLANK(E29)=1,"",IF(Entrants!K37="n","N","")))</f>
        <v/>
      </c>
      <c r="O29" s="29" t="str">
        <f>IF(Major_Errors&gt;0,"",IF(COUNTBLANK(Entrants!L37)=0,O$8,""))</f>
        <v/>
      </c>
      <c r="P29" s="29" t="str">
        <f>IF(Major_Errors&gt;0,"",IF(COUNTBLANK(Entrants!M37)=0,P$8,""))</f>
        <v/>
      </c>
      <c r="Q29" s="29" t="str">
        <f>IF(Major_Errors&gt;0,"",IF(COUNTBLANK(Entrants!N37)=0,Q$8,""))</f>
        <v/>
      </c>
      <c r="R29" s="29" t="str">
        <f>IF(Major_Errors&gt;0,"",IF(COUNTBLANK(Entrants!O37)=0,R$8,""))</f>
        <v/>
      </c>
      <c r="S29" s="29" t="str">
        <f>IF(Major_Errors&gt;0,"",IF(COUNTBLANK(Entrants!P37)=0,S$8,""))</f>
        <v/>
      </c>
      <c r="T29" s="29" t="str">
        <f>IF(Major_Errors&gt;0,"",IF(COUNTBLANK(Entrants!Q37)=0,T$8,""))</f>
        <v/>
      </c>
      <c r="U29" s="29" t="str">
        <f>IF(Major_Errors&gt;0,"",IF(Entrants!R37="Open",U$8,""))</f>
        <v/>
      </c>
      <c r="V29" s="29" t="str">
        <f>IF(Major_Errors&gt;0,"",IF(Entrants!R37="Sporter",U$8,""))</f>
        <v/>
      </c>
      <c r="W29" s="21" t="str">
        <f>IF(Major_Errors&gt;0,"",IF(COUNTBLANK(Entrants!T37)=0,Entrants!T37,""))</f>
        <v/>
      </c>
      <c r="X29" s="29" t="str">
        <f>IF(Major_Errors&gt;0,"",IF(COUNTBLANK(Entrants!U37)=0,X$8,""))</f>
        <v/>
      </c>
      <c r="Y29" s="29" t="str">
        <f>IF(Major_Errors&gt;0,"",IF(COUNTBLANK(Entrants!V37)=0,X$8,""))</f>
        <v/>
      </c>
      <c r="Z29" s="29" t="str">
        <f>IF(Major_Errors&gt;0,"",IF(OR(Entrants!W37="a",Entrants!W37="A"),Z$8,""))</f>
        <v/>
      </c>
      <c r="AA29" s="29" t="str">
        <f>IF(Major_Errors&gt;0,"",IF(OR(Entrants!W37="b",Entrants!W37="B"),Z$8,""))</f>
        <v/>
      </c>
      <c r="AB29" s="29" t="str">
        <f>IF(Major_Errors&gt;0,"",IF(Entrants!$X37="A",AB$8,""))</f>
        <v/>
      </c>
      <c r="AC29" s="29" t="str">
        <f>IF(Major_Errors&gt;0,"",IF(Entrants!$X37="B",AC$8,""))</f>
        <v/>
      </c>
      <c r="AD29" s="245" t="str">
        <f>IF(Major_Errors&gt;0,"",IF(Entrants!$X37="X",AD$8,""))</f>
        <v/>
      </c>
      <c r="AE29" s="330">
        <f t="shared" si="3"/>
        <v>0</v>
      </c>
      <c r="AF29" s="332">
        <f t="shared" si="4"/>
        <v>0</v>
      </c>
    </row>
    <row r="30" spans="1:32" ht="13.5" x14ac:dyDescent="0.25">
      <c r="A30" s="193" t="str">
        <f t="shared" si="0"/>
        <v/>
      </c>
      <c r="B30" s="237">
        <f t="shared" si="1"/>
        <v>0</v>
      </c>
      <c r="C30" s="193">
        <f t="shared" si="2"/>
        <v>0</v>
      </c>
      <c r="D30" s="193"/>
      <c r="E30" s="244" t="str">
        <f>IF(Major_Errors&gt;0,"",IF(COUNTBLANK(Entrants!B38)=0,'Entrant Data'!E25,""))</f>
        <v/>
      </c>
      <c r="F30" s="21" t="str">
        <f>IF(Major_Errors&gt;0,"",IF(COUNTBLANK(Entrants!C38)=0,'Entrant Data'!F25,""))</f>
        <v/>
      </c>
      <c r="G30" s="25" t="str">
        <f>IF(Major_Errors&gt;0,"",IF(COUNTBLANK(Entrants!D38)=0,Entrants!D38,""))</f>
        <v/>
      </c>
      <c r="H30" s="23" t="str">
        <f>IF(Major_Errors&gt;0,"",IF(COUNTBLANK(Entrants!E38)=0,Entrants!E38,""))</f>
        <v/>
      </c>
      <c r="I30" s="23" t="str">
        <f>IF(Major_Errors&gt;0,"",IF(COUNTBLANK(Entrants!F38)=0,Entrants!F38,""))</f>
        <v/>
      </c>
      <c r="J30" s="23" t="str">
        <f>IF(Major_Errors&gt;0,"",IF(Entrants!G38="y","Y",IF(Entrants!G38="n","N",IF(COUNTBLANK(Entrants!G38)=0,Entrants!G38,""))))</f>
        <v/>
      </c>
      <c r="K30" s="23" t="str">
        <f>IF(Major_Errors&gt;0,"",IF(COUNTBLANK(Entrants!I38)=0,Entrants!E79,""))</f>
        <v/>
      </c>
      <c r="L30" s="23" t="str">
        <f>IF(Major_Errors&gt;0,"",IF(COUNTBLANK(Entrants!J38)=0,"R",""))</f>
        <v/>
      </c>
      <c r="M30" s="23" t="str">
        <f>IF(Major_Errors&gt;0,"",IF(COUNTBLANK(E30)=1,"",IF(Entrants!K38="x","X","")))</f>
        <v/>
      </c>
      <c r="N30" s="23" t="str">
        <f>IF(Major_Errors&gt;0,"",IF(COUNTBLANK(E30)=1,"",IF(Entrants!K38="n","N","")))</f>
        <v/>
      </c>
      <c r="O30" s="29" t="str">
        <f>IF(Major_Errors&gt;0,"",IF(COUNTBLANK(Entrants!L38)=0,O$8,""))</f>
        <v/>
      </c>
      <c r="P30" s="29" t="str">
        <f>IF(Major_Errors&gt;0,"",IF(COUNTBLANK(Entrants!M38)=0,P$8,""))</f>
        <v/>
      </c>
      <c r="Q30" s="29" t="str">
        <f>IF(Major_Errors&gt;0,"",IF(COUNTBLANK(Entrants!N38)=0,Q$8,""))</f>
        <v/>
      </c>
      <c r="R30" s="29" t="str">
        <f>IF(Major_Errors&gt;0,"",IF(COUNTBLANK(Entrants!O38)=0,R$8,""))</f>
        <v/>
      </c>
      <c r="S30" s="29" t="str">
        <f>IF(Major_Errors&gt;0,"",IF(COUNTBLANK(Entrants!P38)=0,S$8,""))</f>
        <v/>
      </c>
      <c r="T30" s="29" t="str">
        <f>IF(Major_Errors&gt;0,"",IF(COUNTBLANK(Entrants!Q38)=0,T$8,""))</f>
        <v/>
      </c>
      <c r="U30" s="29" t="str">
        <f>IF(Major_Errors&gt;0,"",IF(Entrants!R38="Open",U$8,""))</f>
        <v/>
      </c>
      <c r="V30" s="29" t="str">
        <f>IF(Major_Errors&gt;0,"",IF(Entrants!R38="Sporter",U$8,""))</f>
        <v/>
      </c>
      <c r="W30" s="21" t="str">
        <f>IF(Major_Errors&gt;0,"",IF(COUNTBLANK(Entrants!T38)=0,Entrants!T38,""))</f>
        <v/>
      </c>
      <c r="X30" s="29" t="str">
        <f>IF(Major_Errors&gt;0,"",IF(COUNTBLANK(Entrants!U38)=0,X$8,""))</f>
        <v/>
      </c>
      <c r="Y30" s="29" t="str">
        <f>IF(Major_Errors&gt;0,"",IF(COUNTBLANK(Entrants!V38)=0,X$8,""))</f>
        <v/>
      </c>
      <c r="Z30" s="29" t="str">
        <f>IF(Major_Errors&gt;0,"",IF(OR(Entrants!W38="a",Entrants!W38="A"),Z$8,""))</f>
        <v/>
      </c>
      <c r="AA30" s="29" t="str">
        <f>IF(Major_Errors&gt;0,"",IF(OR(Entrants!W38="b",Entrants!W38="B"),Z$8,""))</f>
        <v/>
      </c>
      <c r="AB30" s="29" t="str">
        <f>IF(Major_Errors&gt;0,"",IF(Entrants!$X38="A",AB$8,""))</f>
        <v/>
      </c>
      <c r="AC30" s="29" t="str">
        <f>IF(Major_Errors&gt;0,"",IF(Entrants!$X38="B",AC$8,""))</f>
        <v/>
      </c>
      <c r="AD30" s="245" t="str">
        <f>IF(Major_Errors&gt;0,"",IF(Entrants!$X38="X",AD$8,""))</f>
        <v/>
      </c>
      <c r="AE30" s="330">
        <f t="shared" si="3"/>
        <v>0</v>
      </c>
      <c r="AF30" s="332">
        <f t="shared" si="4"/>
        <v>0</v>
      </c>
    </row>
    <row r="31" spans="1:32" ht="13.5" x14ac:dyDescent="0.25">
      <c r="A31" s="193" t="str">
        <f t="shared" si="0"/>
        <v/>
      </c>
      <c r="B31" s="237">
        <f t="shared" si="1"/>
        <v>0</v>
      </c>
      <c r="C31" s="193">
        <f t="shared" si="2"/>
        <v>0</v>
      </c>
      <c r="D31" s="193"/>
      <c r="E31" s="244" t="str">
        <f>IF(Major_Errors&gt;0,"",IF(COUNTBLANK(Entrants!B39)=0,'Entrant Data'!E26,""))</f>
        <v/>
      </c>
      <c r="F31" s="21" t="str">
        <f>IF(Major_Errors&gt;0,"",IF(COUNTBLANK(Entrants!C39)=0,'Entrant Data'!F26,""))</f>
        <v/>
      </c>
      <c r="G31" s="25" t="str">
        <f>IF(Major_Errors&gt;0,"",IF(COUNTBLANK(Entrants!D39)=0,Entrants!D39,""))</f>
        <v/>
      </c>
      <c r="H31" s="23" t="str">
        <f>IF(Major_Errors&gt;0,"",IF(COUNTBLANK(Entrants!E39)=0,Entrants!E39,""))</f>
        <v/>
      </c>
      <c r="I31" s="23" t="str">
        <f>IF(Major_Errors&gt;0,"",IF(COUNTBLANK(Entrants!F39)=0,Entrants!F39,""))</f>
        <v/>
      </c>
      <c r="J31" s="23" t="str">
        <f>IF(Major_Errors&gt;0,"",IF(Entrants!G39="y","Y",IF(Entrants!G39="n","N",IF(COUNTBLANK(Entrants!G39)=0,Entrants!G39,""))))</f>
        <v/>
      </c>
      <c r="K31" s="23" t="str">
        <f>IF(Major_Errors&gt;0,"",IF(COUNTBLANK(Entrants!I39)=0,Entrants!E80,""))</f>
        <v/>
      </c>
      <c r="L31" s="23" t="str">
        <f>IF(Major_Errors&gt;0,"",IF(COUNTBLANK(Entrants!J39)=0,"R",""))</f>
        <v/>
      </c>
      <c r="M31" s="23" t="str">
        <f>IF(Major_Errors&gt;0,"",IF(COUNTBLANK(E31)=1,"",IF(Entrants!K39="x","X","")))</f>
        <v/>
      </c>
      <c r="N31" s="23" t="str">
        <f>IF(Major_Errors&gt;0,"",IF(COUNTBLANK(E31)=1,"",IF(Entrants!K39="n","N","")))</f>
        <v/>
      </c>
      <c r="O31" s="29" t="str">
        <f>IF(Major_Errors&gt;0,"",IF(COUNTBLANK(Entrants!L39)=0,O$8,""))</f>
        <v/>
      </c>
      <c r="P31" s="29" t="str">
        <f>IF(Major_Errors&gt;0,"",IF(COUNTBLANK(Entrants!M39)=0,P$8,""))</f>
        <v/>
      </c>
      <c r="Q31" s="29" t="str">
        <f>IF(Major_Errors&gt;0,"",IF(COUNTBLANK(Entrants!N39)=0,Q$8,""))</f>
        <v/>
      </c>
      <c r="R31" s="29" t="str">
        <f>IF(Major_Errors&gt;0,"",IF(COUNTBLANK(Entrants!O39)=0,R$8,""))</f>
        <v/>
      </c>
      <c r="S31" s="29" t="str">
        <f>IF(Major_Errors&gt;0,"",IF(COUNTBLANK(Entrants!P39)=0,S$8,""))</f>
        <v/>
      </c>
      <c r="T31" s="29" t="str">
        <f>IF(Major_Errors&gt;0,"",IF(COUNTBLANK(Entrants!Q39)=0,T$8,""))</f>
        <v/>
      </c>
      <c r="U31" s="29" t="str">
        <f>IF(Major_Errors&gt;0,"",IF(Entrants!R39="Open",U$8,""))</f>
        <v/>
      </c>
      <c r="V31" s="29" t="str">
        <f>IF(Major_Errors&gt;0,"",IF(Entrants!R39="Sporter",U$8,""))</f>
        <v/>
      </c>
      <c r="W31" s="21" t="str">
        <f>IF(Major_Errors&gt;0,"",IF(COUNTBLANK(Entrants!T39)=0,Entrants!T39,""))</f>
        <v/>
      </c>
      <c r="X31" s="29" t="str">
        <f>IF(Major_Errors&gt;0,"",IF(COUNTBLANK(Entrants!U39)=0,X$8,""))</f>
        <v/>
      </c>
      <c r="Y31" s="29" t="str">
        <f>IF(Major_Errors&gt;0,"",IF(COUNTBLANK(Entrants!V39)=0,X$8,""))</f>
        <v/>
      </c>
      <c r="Z31" s="29" t="str">
        <f>IF(Major_Errors&gt;0,"",IF(OR(Entrants!W39="a",Entrants!W39="A"),Z$8,""))</f>
        <v/>
      </c>
      <c r="AA31" s="29" t="str">
        <f>IF(Major_Errors&gt;0,"",IF(OR(Entrants!W39="b",Entrants!W39="B"),Z$8,""))</f>
        <v/>
      </c>
      <c r="AB31" s="29" t="str">
        <f>IF(Major_Errors&gt;0,"",IF(Entrants!$X39="A",AB$8,""))</f>
        <v/>
      </c>
      <c r="AC31" s="29" t="str">
        <f>IF(Major_Errors&gt;0,"",IF(Entrants!$X39="B",AC$8,""))</f>
        <v/>
      </c>
      <c r="AD31" s="245" t="str">
        <f>IF(Major_Errors&gt;0,"",IF(Entrants!$X39="X",AD$8,""))</f>
        <v/>
      </c>
      <c r="AE31" s="330">
        <f t="shared" si="3"/>
        <v>0</v>
      </c>
      <c r="AF31" s="332">
        <f t="shared" si="4"/>
        <v>0</v>
      </c>
    </row>
    <row r="32" spans="1:32" ht="13.5" x14ac:dyDescent="0.25">
      <c r="A32" s="193" t="str">
        <f t="shared" si="0"/>
        <v/>
      </c>
      <c r="B32" s="237">
        <f t="shared" si="1"/>
        <v>0</v>
      </c>
      <c r="C32" s="193">
        <f t="shared" si="2"/>
        <v>0</v>
      </c>
      <c r="D32" s="193"/>
      <c r="E32" s="244" t="str">
        <f>IF(Major_Errors&gt;0,"",IF(COUNTBLANK(Entrants!B40)=0,'Entrant Data'!E27,""))</f>
        <v/>
      </c>
      <c r="F32" s="21" t="str">
        <f>IF(Major_Errors&gt;0,"",IF(COUNTBLANK(Entrants!C40)=0,'Entrant Data'!F27,""))</f>
        <v/>
      </c>
      <c r="G32" s="25" t="str">
        <f>IF(Major_Errors&gt;0,"",IF(COUNTBLANK(Entrants!D40)=0,Entrants!D40,""))</f>
        <v/>
      </c>
      <c r="H32" s="23" t="str">
        <f>IF(Major_Errors&gt;0,"",IF(COUNTBLANK(Entrants!E40)=0,Entrants!E40,""))</f>
        <v/>
      </c>
      <c r="I32" s="23" t="str">
        <f>IF(Major_Errors&gt;0,"",IF(COUNTBLANK(Entrants!F40)=0,Entrants!F40,""))</f>
        <v/>
      </c>
      <c r="J32" s="23" t="str">
        <f>IF(Major_Errors&gt;0,"",IF(Entrants!G40="y","Y",IF(Entrants!G40="n","N",IF(COUNTBLANK(Entrants!G40)=0,Entrants!G40,""))))</f>
        <v/>
      </c>
      <c r="K32" s="23" t="str">
        <f>IF(Major_Errors&gt;0,"",IF(COUNTBLANK(Entrants!I40)=0,Entrants!E81,""))</f>
        <v/>
      </c>
      <c r="L32" s="23" t="str">
        <f>IF(Major_Errors&gt;0,"",IF(COUNTBLANK(Entrants!J40)=0,"R",""))</f>
        <v/>
      </c>
      <c r="M32" s="23" t="str">
        <f>IF(Major_Errors&gt;0,"",IF(COUNTBLANK(E32)=1,"",IF(Entrants!K40="x","X","")))</f>
        <v/>
      </c>
      <c r="N32" s="23" t="str">
        <f>IF(Major_Errors&gt;0,"",IF(COUNTBLANK(E32)=1,"",IF(Entrants!K40="n","N","")))</f>
        <v/>
      </c>
      <c r="O32" s="29" t="str">
        <f>IF(Major_Errors&gt;0,"",IF(COUNTBLANK(Entrants!L40)=0,O$8,""))</f>
        <v/>
      </c>
      <c r="P32" s="29" t="str">
        <f>IF(Major_Errors&gt;0,"",IF(COUNTBLANK(Entrants!M40)=0,P$8,""))</f>
        <v/>
      </c>
      <c r="Q32" s="29" t="str">
        <f>IF(Major_Errors&gt;0,"",IF(COUNTBLANK(Entrants!N40)=0,Q$8,""))</f>
        <v/>
      </c>
      <c r="R32" s="29" t="str">
        <f>IF(Major_Errors&gt;0,"",IF(COUNTBLANK(Entrants!O40)=0,R$8,""))</f>
        <v/>
      </c>
      <c r="S32" s="29" t="str">
        <f>IF(Major_Errors&gt;0,"",IF(COUNTBLANK(Entrants!P40)=0,S$8,""))</f>
        <v/>
      </c>
      <c r="T32" s="29" t="str">
        <f>IF(Major_Errors&gt;0,"",IF(COUNTBLANK(Entrants!Q40)=0,T$8,""))</f>
        <v/>
      </c>
      <c r="U32" s="29" t="str">
        <f>IF(Major_Errors&gt;0,"",IF(Entrants!R40="Open",U$8,""))</f>
        <v/>
      </c>
      <c r="V32" s="29" t="str">
        <f>IF(Major_Errors&gt;0,"",IF(Entrants!R40="Sporter",U$8,""))</f>
        <v/>
      </c>
      <c r="W32" s="21" t="str">
        <f>IF(Major_Errors&gt;0,"",IF(COUNTBLANK(Entrants!T40)=0,Entrants!T40,""))</f>
        <v/>
      </c>
      <c r="X32" s="29" t="str">
        <f>IF(Major_Errors&gt;0,"",IF(COUNTBLANK(Entrants!U40)=0,X$8,""))</f>
        <v/>
      </c>
      <c r="Y32" s="29" t="str">
        <f>IF(Major_Errors&gt;0,"",IF(COUNTBLANK(Entrants!V40)=0,X$8,""))</f>
        <v/>
      </c>
      <c r="Z32" s="29" t="str">
        <f>IF(Major_Errors&gt;0,"",IF(OR(Entrants!W40="a",Entrants!W40="A"),Z$8,""))</f>
        <v/>
      </c>
      <c r="AA32" s="29" t="str">
        <f>IF(Major_Errors&gt;0,"",IF(OR(Entrants!W40="b",Entrants!W40="B"),Z$8,""))</f>
        <v/>
      </c>
      <c r="AB32" s="29" t="str">
        <f>IF(Major_Errors&gt;0,"",IF(Entrants!$X40="A",AB$8,""))</f>
        <v/>
      </c>
      <c r="AC32" s="29" t="str">
        <f>IF(Major_Errors&gt;0,"",IF(Entrants!$X40="B",AC$8,""))</f>
        <v/>
      </c>
      <c r="AD32" s="245" t="str">
        <f>IF(Major_Errors&gt;0,"",IF(Entrants!$X40="X",AD$8,""))</f>
        <v/>
      </c>
      <c r="AE32" s="330">
        <f t="shared" si="3"/>
        <v>0</v>
      </c>
      <c r="AF32" s="332">
        <f t="shared" si="4"/>
        <v>0</v>
      </c>
    </row>
    <row r="33" spans="1:33" ht="13.5" x14ac:dyDescent="0.25">
      <c r="A33" s="193" t="str">
        <f t="shared" si="0"/>
        <v/>
      </c>
      <c r="B33" s="237">
        <f t="shared" si="1"/>
        <v>0</v>
      </c>
      <c r="C33" s="193">
        <f t="shared" si="2"/>
        <v>0</v>
      </c>
      <c r="D33" s="193"/>
      <c r="E33" s="244" t="str">
        <f>IF(Major_Errors&gt;0,"",IF(COUNTBLANK(Entrants!B41)=0,'Entrant Data'!E28,""))</f>
        <v/>
      </c>
      <c r="F33" s="21" t="str">
        <f>IF(Major_Errors&gt;0,"",IF(COUNTBLANK(Entrants!C41)=0,'Entrant Data'!F28,""))</f>
        <v/>
      </c>
      <c r="G33" s="25" t="str">
        <f>IF(Major_Errors&gt;0,"",IF(COUNTBLANK(Entrants!D41)=0,Entrants!D41,""))</f>
        <v/>
      </c>
      <c r="H33" s="23" t="str">
        <f>IF(Major_Errors&gt;0,"",IF(COUNTBLANK(Entrants!E41)=0,Entrants!E41,""))</f>
        <v/>
      </c>
      <c r="I33" s="23" t="str">
        <f>IF(Major_Errors&gt;0,"",IF(COUNTBLANK(Entrants!F41)=0,Entrants!F41,""))</f>
        <v/>
      </c>
      <c r="J33" s="23" t="str">
        <f>IF(Major_Errors&gt;0,"",IF(Entrants!G41="y","Y",IF(Entrants!G41="n","N",IF(COUNTBLANK(Entrants!G41)=0,Entrants!G41,""))))</f>
        <v/>
      </c>
      <c r="K33" s="23" t="str">
        <f>IF(Major_Errors&gt;0,"",IF(COUNTBLANK(Entrants!I41)=0,Entrants!E82,""))</f>
        <v/>
      </c>
      <c r="L33" s="23" t="str">
        <f>IF(Major_Errors&gt;0,"",IF(COUNTBLANK(Entrants!J41)=0,"R",""))</f>
        <v/>
      </c>
      <c r="M33" s="23" t="str">
        <f>IF(Major_Errors&gt;0,"",IF(COUNTBLANK(E33)=1,"",IF(Entrants!K41="x","X","")))</f>
        <v/>
      </c>
      <c r="N33" s="23" t="str">
        <f>IF(Major_Errors&gt;0,"",IF(COUNTBLANK(E33)=1,"",IF(Entrants!K41="n","N","")))</f>
        <v/>
      </c>
      <c r="O33" s="29" t="str">
        <f>IF(Major_Errors&gt;0,"",IF(COUNTBLANK(Entrants!L41)=0,O$8,""))</f>
        <v/>
      </c>
      <c r="P33" s="29" t="str">
        <f>IF(Major_Errors&gt;0,"",IF(COUNTBLANK(Entrants!M41)=0,P$8,""))</f>
        <v/>
      </c>
      <c r="Q33" s="29" t="str">
        <f>IF(Major_Errors&gt;0,"",IF(COUNTBLANK(Entrants!N41)=0,Q$8,""))</f>
        <v/>
      </c>
      <c r="R33" s="29" t="str">
        <f>IF(Major_Errors&gt;0,"",IF(COUNTBLANK(Entrants!O41)=0,R$8,""))</f>
        <v/>
      </c>
      <c r="S33" s="29" t="str">
        <f>IF(Major_Errors&gt;0,"",IF(COUNTBLANK(Entrants!P41)=0,S$8,""))</f>
        <v/>
      </c>
      <c r="T33" s="29" t="str">
        <f>IF(Major_Errors&gt;0,"",IF(COUNTBLANK(Entrants!Q41)=0,T$8,""))</f>
        <v/>
      </c>
      <c r="U33" s="29" t="str">
        <f>IF(Major_Errors&gt;0,"",IF(Entrants!R41="Open",U$8,""))</f>
        <v/>
      </c>
      <c r="V33" s="29" t="str">
        <f>IF(Major_Errors&gt;0,"",IF(Entrants!R41="Sporter",U$8,""))</f>
        <v/>
      </c>
      <c r="W33" s="21" t="str">
        <f>IF(Major_Errors&gt;0,"",IF(COUNTBLANK(Entrants!T41)=0,Entrants!T41,""))</f>
        <v/>
      </c>
      <c r="X33" s="29" t="str">
        <f>IF(Major_Errors&gt;0,"",IF(COUNTBLANK(Entrants!U41)=0,X$8,""))</f>
        <v/>
      </c>
      <c r="Y33" s="29" t="str">
        <f>IF(Major_Errors&gt;0,"",IF(COUNTBLANK(Entrants!V41)=0,X$8,""))</f>
        <v/>
      </c>
      <c r="Z33" s="29" t="str">
        <f>IF(Major_Errors&gt;0,"",IF(OR(Entrants!W41="a",Entrants!W41="A"),Z$8,""))</f>
        <v/>
      </c>
      <c r="AA33" s="29" t="str">
        <f>IF(Major_Errors&gt;0,"",IF(OR(Entrants!W41="b",Entrants!W41="B"),Z$8,""))</f>
        <v/>
      </c>
      <c r="AB33" s="29" t="str">
        <f>IF(Major_Errors&gt;0,"",IF(Entrants!$X41="A",AB$8,""))</f>
        <v/>
      </c>
      <c r="AC33" s="29" t="str">
        <f>IF(Major_Errors&gt;0,"",IF(Entrants!$X41="B",AC$8,""))</f>
        <v/>
      </c>
      <c r="AD33" s="245" t="str">
        <f>IF(Major_Errors&gt;0,"",IF(Entrants!$X41="X",AD$8,""))</f>
        <v/>
      </c>
      <c r="AE33" s="330">
        <f t="shared" si="3"/>
        <v>0</v>
      </c>
      <c r="AF33" s="332">
        <f t="shared" si="4"/>
        <v>0</v>
      </c>
    </row>
    <row r="34" spans="1:33" ht="13.5" x14ac:dyDescent="0.25">
      <c r="A34" s="193" t="str">
        <f t="shared" si="0"/>
        <v/>
      </c>
      <c r="B34" s="237">
        <f t="shared" si="1"/>
        <v>0</v>
      </c>
      <c r="C34" s="193">
        <f t="shared" si="2"/>
        <v>0</v>
      </c>
      <c r="D34" s="193"/>
      <c r="E34" s="244" t="str">
        <f>IF(Major_Errors&gt;0,"",IF(COUNTBLANK(Entrants!B42)=0,'Entrant Data'!E29,""))</f>
        <v/>
      </c>
      <c r="F34" s="21" t="str">
        <f>IF(Major_Errors&gt;0,"",IF(COUNTBLANK(Entrants!C42)=0,'Entrant Data'!F29,""))</f>
        <v/>
      </c>
      <c r="G34" s="25" t="str">
        <f>IF(Major_Errors&gt;0,"",IF(COUNTBLANK(Entrants!D42)=0,Entrants!D42,""))</f>
        <v/>
      </c>
      <c r="H34" s="23" t="str">
        <f>IF(Major_Errors&gt;0,"",IF(COUNTBLANK(Entrants!E42)=0,Entrants!E42,""))</f>
        <v/>
      </c>
      <c r="I34" s="23" t="str">
        <f>IF(Major_Errors&gt;0,"",IF(COUNTBLANK(Entrants!F42)=0,Entrants!F42,""))</f>
        <v/>
      </c>
      <c r="J34" s="23" t="str">
        <f>IF(Major_Errors&gt;0,"",IF(Entrants!G42="y","Y",IF(Entrants!G42="n","N",IF(COUNTBLANK(Entrants!G42)=0,Entrants!G42,""))))</f>
        <v/>
      </c>
      <c r="K34" s="23" t="str">
        <f>IF(Major_Errors&gt;0,"",IF(COUNTBLANK(Entrants!I42)=0,Entrants!E83,""))</f>
        <v/>
      </c>
      <c r="L34" s="23" t="str">
        <f>IF(Major_Errors&gt;0,"",IF(COUNTBLANK(Entrants!J42)=0,"R",""))</f>
        <v/>
      </c>
      <c r="M34" s="23" t="str">
        <f>IF(Major_Errors&gt;0,"",IF(COUNTBLANK(E34)=1,"",IF(Entrants!K42="x","X","")))</f>
        <v/>
      </c>
      <c r="N34" s="23" t="str">
        <f>IF(Major_Errors&gt;0,"",IF(COUNTBLANK(E34)=1,"",IF(Entrants!K42="n","N","")))</f>
        <v/>
      </c>
      <c r="O34" s="29" t="str">
        <f>IF(Major_Errors&gt;0,"",IF(COUNTBLANK(Entrants!L42)=0,O$8,""))</f>
        <v/>
      </c>
      <c r="P34" s="29" t="str">
        <f>IF(Major_Errors&gt;0,"",IF(COUNTBLANK(Entrants!M42)=0,P$8,""))</f>
        <v/>
      </c>
      <c r="Q34" s="29" t="str">
        <f>IF(Major_Errors&gt;0,"",IF(COUNTBLANK(Entrants!N42)=0,Q$8,""))</f>
        <v/>
      </c>
      <c r="R34" s="29" t="str">
        <f>IF(Major_Errors&gt;0,"",IF(COUNTBLANK(Entrants!O42)=0,R$8,""))</f>
        <v/>
      </c>
      <c r="S34" s="29" t="str">
        <f>IF(Major_Errors&gt;0,"",IF(COUNTBLANK(Entrants!P42)=0,S$8,""))</f>
        <v/>
      </c>
      <c r="T34" s="29" t="str">
        <f>IF(Major_Errors&gt;0,"",IF(COUNTBLANK(Entrants!Q42)=0,T$8,""))</f>
        <v/>
      </c>
      <c r="U34" s="29" t="str">
        <f>IF(Major_Errors&gt;0,"",IF(Entrants!R42="Open",U$8,""))</f>
        <v/>
      </c>
      <c r="V34" s="29" t="str">
        <f>IF(Major_Errors&gt;0,"",IF(Entrants!R42="Sporter",U$8,""))</f>
        <v/>
      </c>
      <c r="W34" s="21" t="str">
        <f>IF(Major_Errors&gt;0,"",IF(COUNTBLANK(Entrants!T42)=0,Entrants!T42,""))</f>
        <v/>
      </c>
      <c r="X34" s="29" t="str">
        <f>IF(Major_Errors&gt;0,"",IF(COUNTBLANK(Entrants!U42)=0,X$8,""))</f>
        <v/>
      </c>
      <c r="Y34" s="29" t="str">
        <f>IF(Major_Errors&gt;0,"",IF(COUNTBLANK(Entrants!V42)=0,X$8,""))</f>
        <v/>
      </c>
      <c r="Z34" s="29" t="str">
        <f>IF(Major_Errors&gt;0,"",IF(OR(Entrants!W42="a",Entrants!W42="A"),Z$8,""))</f>
        <v/>
      </c>
      <c r="AA34" s="29" t="str">
        <f>IF(Major_Errors&gt;0,"",IF(OR(Entrants!W42="b",Entrants!W42="B"),Z$8,""))</f>
        <v/>
      </c>
      <c r="AB34" s="29" t="str">
        <f>IF(Major_Errors&gt;0,"",IF(Entrants!$X42="A",AB$8,""))</f>
        <v/>
      </c>
      <c r="AC34" s="29" t="str">
        <f>IF(Major_Errors&gt;0,"",IF(Entrants!$X42="B",AC$8,""))</f>
        <v/>
      </c>
      <c r="AD34" s="245" t="str">
        <f>IF(Major_Errors&gt;0,"",IF(Entrants!$X42="X",AD$8,""))</f>
        <v/>
      </c>
      <c r="AE34" s="330">
        <f t="shared" si="3"/>
        <v>0</v>
      </c>
      <c r="AF34" s="332">
        <f t="shared" si="4"/>
        <v>0</v>
      </c>
    </row>
    <row r="35" spans="1:33" ht="14.25" thickBot="1" x14ac:dyDescent="0.3">
      <c r="A35" s="193" t="str">
        <f t="shared" si="0"/>
        <v/>
      </c>
      <c r="B35" s="237">
        <f t="shared" si="1"/>
        <v>0</v>
      </c>
      <c r="C35" s="193">
        <f t="shared" si="2"/>
        <v>0</v>
      </c>
      <c r="D35" s="193"/>
      <c r="E35" s="246" t="str">
        <f>IF(Major_Errors&gt;0,"",IF(COUNTBLANK(Entrants!B43)=0,'Entrant Data'!E30,""))</f>
        <v/>
      </c>
      <c r="F35" s="247" t="str">
        <f>IF(Major_Errors&gt;0,"",IF(COUNTBLANK(Entrants!C43)=0,'Entrant Data'!F30,""))</f>
        <v/>
      </c>
      <c r="G35" s="248" t="str">
        <f>IF(Major_Errors&gt;0,"",IF(COUNTBLANK(Entrants!D43)=0,Entrants!D43,""))</f>
        <v/>
      </c>
      <c r="H35" s="249" t="str">
        <f>IF(Major_Errors&gt;0,"",IF(COUNTBLANK(Entrants!E43)=0,Entrants!E43,""))</f>
        <v/>
      </c>
      <c r="I35" s="249" t="str">
        <f>IF(Major_Errors&gt;0,"",IF(COUNTBLANK(Entrants!F43)=0,Entrants!F43,""))</f>
        <v/>
      </c>
      <c r="J35" s="249" t="str">
        <f>IF(Major_Errors&gt;0,"",IF(Entrants!G43="y","Y",IF(Entrants!G43="n","N",IF(COUNTBLANK(Entrants!G43)=0,Entrants!G43,""))))</f>
        <v/>
      </c>
      <c r="K35" s="249" t="str">
        <f>IF(Major_Errors&gt;0,"",IF(COUNTBLANK(Entrants!I43)=0,Entrants!E84,""))</f>
        <v/>
      </c>
      <c r="L35" s="249" t="str">
        <f>IF(Major_Errors&gt;0,"",IF(COUNTBLANK(Entrants!J43)=0,"R",""))</f>
        <v/>
      </c>
      <c r="M35" s="249" t="str">
        <f>IF(Major_Errors&gt;0,"",IF(COUNTBLANK(E35)=1,"",IF(Entrants!K43="x","X","")))</f>
        <v/>
      </c>
      <c r="N35" s="249" t="str">
        <f>IF(Major_Errors&gt;0,"",IF(COUNTBLANK(E35)=1,"",IF(Entrants!K43="n","N","")))</f>
        <v/>
      </c>
      <c r="O35" s="250" t="str">
        <f>IF(Major_Errors&gt;0,"",IF(COUNTBLANK(Entrants!L43)=0,O$8,""))</f>
        <v/>
      </c>
      <c r="P35" s="250" t="str">
        <f>IF(Major_Errors&gt;0,"",IF(COUNTBLANK(Entrants!M43)=0,P$8,""))</f>
        <v/>
      </c>
      <c r="Q35" s="250" t="str">
        <f>IF(Major_Errors&gt;0,"",IF(COUNTBLANK(Entrants!N43)=0,Q$8,""))</f>
        <v/>
      </c>
      <c r="R35" s="250" t="str">
        <f>IF(Major_Errors&gt;0,"",IF(COUNTBLANK(Entrants!O43)=0,R$8,""))</f>
        <v/>
      </c>
      <c r="S35" s="250" t="str">
        <f>IF(Major_Errors&gt;0,"",IF(COUNTBLANK(Entrants!P43)=0,S$8,""))</f>
        <v/>
      </c>
      <c r="T35" s="250" t="str">
        <f>IF(Major_Errors&gt;0,"",IF(COUNTBLANK(Entrants!Q43)=0,T$8,""))</f>
        <v/>
      </c>
      <c r="U35" s="250" t="str">
        <f>IF(Major_Errors&gt;0,"",IF(Entrants!R43="Open",U$8,""))</f>
        <v/>
      </c>
      <c r="V35" s="250" t="str">
        <f>IF(Major_Errors&gt;0,"",IF(Entrants!R43="Sporter",U$8,""))</f>
        <v/>
      </c>
      <c r="W35" s="247" t="str">
        <f>IF(Major_Errors&gt;0,"",IF(COUNTBLANK(Entrants!T43)=0,Entrants!T43,""))</f>
        <v/>
      </c>
      <c r="X35" s="250" t="str">
        <f>IF(Major_Errors&gt;0,"",IF(COUNTBLANK(Entrants!U43)=0,X$8,""))</f>
        <v/>
      </c>
      <c r="Y35" s="250" t="str">
        <f>IF(Major_Errors&gt;0,"",IF(COUNTBLANK(Entrants!V43)=0,X$8,""))</f>
        <v/>
      </c>
      <c r="Z35" s="250" t="str">
        <f>IF(Major_Errors&gt;0,"",IF(OR(Entrants!W43="a",Entrants!W43="A"),Z$8,""))</f>
        <v/>
      </c>
      <c r="AA35" s="250" t="str">
        <f>IF(Major_Errors&gt;0,"",IF(OR(Entrants!W43="b",Entrants!W43="B"),Z$8,""))</f>
        <v/>
      </c>
      <c r="AB35" s="250" t="str">
        <f>IF(Major_Errors&gt;0,"",IF(Entrants!$X43="A",AB$8,""))</f>
        <v/>
      </c>
      <c r="AC35" s="250" t="str">
        <f>IF(Major_Errors&gt;0,"",IF(Entrants!$X43="B",AC$8,""))</f>
        <v/>
      </c>
      <c r="AD35" s="251" t="str">
        <f>IF(Major_Errors&gt;0,"",IF(Entrants!$X43="X",AD$8,""))</f>
        <v/>
      </c>
      <c r="AE35" s="330">
        <f t="shared" si="3"/>
        <v>0</v>
      </c>
      <c r="AF35" s="332">
        <f t="shared" si="4"/>
        <v>0</v>
      </c>
    </row>
    <row r="36" spans="1:33" ht="13.5" thickBot="1" x14ac:dyDescent="0.25">
      <c r="E36" s="314" t="s">
        <v>606</v>
      </c>
      <c r="F36" s="9"/>
      <c r="G36" s="9"/>
      <c r="H36" s="130"/>
      <c r="I36" s="130">
        <f>COUNTIF(L9:L35,"R")</f>
        <v>0</v>
      </c>
      <c r="J36" s="9" t="s">
        <v>279</v>
      </c>
      <c r="K36" s="315">
        <v>1.5</v>
      </c>
      <c r="L36" s="316" t="s">
        <v>280</v>
      </c>
      <c r="M36" s="379">
        <f>K36*I36</f>
        <v>0</v>
      </c>
      <c r="N36" s="9"/>
      <c r="O36" s="9">
        <f t="shared" ref="O36:V36" si="5">COUNT(O9:O35)</f>
        <v>0</v>
      </c>
      <c r="P36" s="9">
        <f t="shared" si="5"/>
        <v>0</v>
      </c>
      <c r="Q36" s="9">
        <f t="shared" si="5"/>
        <v>0</v>
      </c>
      <c r="R36" s="9">
        <f t="shared" si="5"/>
        <v>0</v>
      </c>
      <c r="S36" s="9">
        <f t="shared" si="5"/>
        <v>0</v>
      </c>
      <c r="T36" s="9">
        <f t="shared" si="5"/>
        <v>0</v>
      </c>
      <c r="U36" s="9">
        <f t="shared" si="5"/>
        <v>0</v>
      </c>
      <c r="V36" s="9">
        <f t="shared" si="5"/>
        <v>0</v>
      </c>
      <c r="W36" s="9"/>
      <c r="X36" s="9">
        <f t="shared" ref="X36:AD36" si="6">COUNT(X9:X35)</f>
        <v>0</v>
      </c>
      <c r="Y36" s="9">
        <f t="shared" si="6"/>
        <v>0</v>
      </c>
      <c r="Z36" s="9">
        <f t="shared" si="6"/>
        <v>0</v>
      </c>
      <c r="AA36" s="9">
        <f t="shared" si="6"/>
        <v>0</v>
      </c>
      <c r="AB36" s="9">
        <f t="shared" si="6"/>
        <v>0</v>
      </c>
      <c r="AC36" s="9">
        <f t="shared" si="6"/>
        <v>0</v>
      </c>
      <c r="AD36" s="9">
        <f t="shared" si="6"/>
        <v>0</v>
      </c>
      <c r="AE36" s="330"/>
      <c r="AF36" s="333">
        <f>SUM(AF9:AF35)</f>
        <v>0</v>
      </c>
    </row>
    <row r="37" spans="1:33" ht="14.25" thickBot="1" x14ac:dyDescent="0.3">
      <c r="B37" s="32">
        <f>SUM(B9:B36)</f>
        <v>0</v>
      </c>
      <c r="C37" s="193"/>
      <c r="D37" s="193"/>
      <c r="E37" s="314" t="s">
        <v>459</v>
      </c>
      <c r="F37" s="9"/>
      <c r="G37" s="9"/>
      <c r="H37" s="130"/>
      <c r="I37" s="210">
        <f>B37</f>
        <v>0</v>
      </c>
      <c r="J37" s="9" t="s">
        <v>279</v>
      </c>
      <c r="K37" s="315">
        <v>5.5</v>
      </c>
      <c r="L37" s="316" t="s">
        <v>280</v>
      </c>
      <c r="M37" s="380">
        <f>K37*I37</f>
        <v>0</v>
      </c>
      <c r="N37" s="9"/>
      <c r="O37" s="9"/>
      <c r="P37" s="9"/>
      <c r="Q37" s="9"/>
      <c r="R37" s="9"/>
      <c r="S37" s="9"/>
      <c r="T37" s="9"/>
      <c r="U37" s="9"/>
      <c r="V37" s="9"/>
      <c r="W37" s="9"/>
      <c r="X37" s="9"/>
      <c r="Y37" s="9"/>
      <c r="Z37" s="9"/>
      <c r="AA37" s="9"/>
      <c r="AB37" s="9"/>
      <c r="AC37" s="9"/>
      <c r="AD37" s="9"/>
      <c r="AE37" s="330"/>
      <c r="AF37" s="191"/>
    </row>
    <row r="38" spans="1:33" ht="13.5" thickBot="1" x14ac:dyDescent="0.25">
      <c r="E38" s="317" t="s">
        <v>278</v>
      </c>
      <c r="F38" s="31"/>
      <c r="G38" s="31"/>
      <c r="H38" s="131"/>
      <c r="I38" s="318">
        <f>IF(Entrants!BJ$45&gt;0,0,Entrants!AA44-'Cost Calc'!I36-I37)</f>
        <v>0</v>
      </c>
      <c r="J38" s="31" t="s">
        <v>279</v>
      </c>
      <c r="K38" s="319">
        <v>21.25</v>
      </c>
      <c r="L38" s="320" t="s">
        <v>280</v>
      </c>
      <c r="M38" s="381">
        <f>K38*I38</f>
        <v>0</v>
      </c>
      <c r="N38" s="252"/>
      <c r="O38" s="254">
        <f t="shared" ref="O38:V38" si="7">SUM(O9:O35)</f>
        <v>0</v>
      </c>
      <c r="P38" s="254">
        <f t="shared" si="7"/>
        <v>0</v>
      </c>
      <c r="Q38" s="254">
        <f t="shared" si="7"/>
        <v>0</v>
      </c>
      <c r="R38" s="254">
        <f t="shared" si="7"/>
        <v>0</v>
      </c>
      <c r="S38" s="254">
        <f t="shared" si="7"/>
        <v>0</v>
      </c>
      <c r="T38" s="254">
        <f t="shared" si="7"/>
        <v>0</v>
      </c>
      <c r="U38" s="254">
        <f t="shared" si="7"/>
        <v>0</v>
      </c>
      <c r="V38" s="254">
        <f t="shared" si="7"/>
        <v>0</v>
      </c>
      <c r="W38" s="253"/>
      <c r="X38" s="254">
        <f t="shared" ref="X38:AD38" si="8">SUM(X9:X35)</f>
        <v>0</v>
      </c>
      <c r="Y38" s="254">
        <f t="shared" si="8"/>
        <v>0</v>
      </c>
      <c r="Z38" s="254">
        <f t="shared" si="8"/>
        <v>0</v>
      </c>
      <c r="AA38" s="254">
        <f t="shared" si="8"/>
        <v>0</v>
      </c>
      <c r="AB38" s="254">
        <f t="shared" si="8"/>
        <v>0</v>
      </c>
      <c r="AC38" s="254">
        <f t="shared" si="8"/>
        <v>0</v>
      </c>
      <c r="AD38" s="254">
        <f t="shared" si="8"/>
        <v>0</v>
      </c>
      <c r="AE38" s="331"/>
      <c r="AF38" s="306">
        <f>SUM(O38:AD38)+SUM(M36:M38)</f>
        <v>0</v>
      </c>
      <c r="AG38" s="271" t="s">
        <v>592</v>
      </c>
    </row>
    <row r="39" spans="1:33" x14ac:dyDescent="0.2">
      <c r="E39" s="314" t="s">
        <v>460</v>
      </c>
      <c r="F39" s="9"/>
      <c r="G39" s="9"/>
      <c r="H39" s="130"/>
      <c r="I39" s="9"/>
      <c r="J39" s="9"/>
      <c r="K39" s="9"/>
      <c r="L39" s="9"/>
      <c r="M39" s="9"/>
      <c r="N39" s="9"/>
      <c r="O39" s="9"/>
      <c r="P39" s="9"/>
      <c r="Q39" s="9"/>
      <c r="R39" s="9"/>
      <c r="S39" s="9"/>
      <c r="T39" s="9"/>
      <c r="U39" s="9"/>
      <c r="V39" s="9"/>
      <c r="W39" s="9"/>
      <c r="X39" s="9"/>
      <c r="Y39" s="9"/>
      <c r="Z39" s="9"/>
      <c r="AA39" s="9"/>
      <c r="AB39" s="9"/>
      <c r="AC39" s="9"/>
      <c r="AD39" s="9"/>
      <c r="AE39" s="284"/>
      <c r="AF39" s="36"/>
    </row>
    <row r="40" spans="1:33" ht="13.5" x14ac:dyDescent="0.25">
      <c r="A40" s="193" t="str">
        <f>IF(O40&gt;0,O40,"")</f>
        <v/>
      </c>
      <c r="B40" s="237"/>
      <c r="C40" s="193"/>
      <c r="D40" s="322" t="str">
        <f>IF(Group!G26=0," ",Group!G26)</f>
        <v xml:space="preserve"> </v>
      </c>
      <c r="E40" s="307" t="str">
        <f>MID(D40,1,FIND(" ",D40)-1)</f>
        <v/>
      </c>
      <c r="F40" s="308" t="str">
        <f>MID(D40,FIND(" ",D40)+1, 999999)</f>
        <v/>
      </c>
      <c r="G40" s="309" t="str">
        <f>IF(Group!G26=0," ",Group!H26)</f>
        <v xml:space="preserve"> </v>
      </c>
      <c r="H40" s="9"/>
      <c r="I40" s="9"/>
      <c r="J40" s="9"/>
      <c r="K40" s="130">
        <f>IF(Entrants!BJ$45&gt;0,0,IF(Group!G26=0,0,1))</f>
        <v>0</v>
      </c>
      <c r="L40" s="142" t="s">
        <v>279</v>
      </c>
      <c r="M40" s="382">
        <f t="shared" ref="M40:M51" si="9">$K$37</f>
        <v>5.5</v>
      </c>
      <c r="N40" s="142" t="s">
        <v>280</v>
      </c>
      <c r="O40" s="382">
        <f>M40*K40</f>
        <v>0</v>
      </c>
      <c r="P40" s="9"/>
      <c r="Q40" s="9"/>
      <c r="R40" s="9"/>
      <c r="S40" s="9"/>
      <c r="T40" s="9"/>
      <c r="U40" s="9"/>
      <c r="V40" s="9"/>
      <c r="W40" s="9"/>
      <c r="X40" s="9"/>
      <c r="Y40" s="9"/>
      <c r="Z40" s="9"/>
      <c r="AA40" s="9"/>
      <c r="AB40" s="9"/>
      <c r="AC40" s="9"/>
      <c r="AD40" s="9"/>
      <c r="AE40" s="284"/>
      <c r="AF40" s="310">
        <f t="shared" ref="AF40:AF51" si="10">O40</f>
        <v>0</v>
      </c>
    </row>
    <row r="41" spans="1:33" ht="13.5" x14ac:dyDescent="0.25">
      <c r="A41" s="193" t="str">
        <f t="shared" ref="A41:A51" si="11">IF(O41&gt;0,O41,"")</f>
        <v/>
      </c>
      <c r="B41" s="237"/>
      <c r="C41" s="193"/>
      <c r="D41" s="322" t="str">
        <f>IF(Group!G27=0," ",Group!G27)</f>
        <v xml:space="preserve"> </v>
      </c>
      <c r="E41" s="307" t="str">
        <f t="shared" ref="E41:E51" si="12">MID(D41,1,FIND(" ",D41)-1)</f>
        <v/>
      </c>
      <c r="F41" s="308" t="str">
        <f t="shared" ref="F41:F51" si="13">MID(D41,FIND(" ",D41)+1, 999999)</f>
        <v/>
      </c>
      <c r="G41" s="309" t="str">
        <f>IF(Group!G27=0," ",Group!H27)</f>
        <v xml:space="preserve"> </v>
      </c>
      <c r="H41" s="9"/>
      <c r="I41" s="9"/>
      <c r="J41" s="9"/>
      <c r="K41" s="130">
        <f>IF(Entrants!BJ$45&gt;0,0,IF(Group!G27=0,0,1))</f>
        <v>0</v>
      </c>
      <c r="L41" s="142" t="s">
        <v>279</v>
      </c>
      <c r="M41" s="382">
        <f t="shared" si="9"/>
        <v>5.5</v>
      </c>
      <c r="N41" s="142" t="s">
        <v>280</v>
      </c>
      <c r="O41" s="382">
        <f t="shared" ref="O41:O51" si="14">M41*K41</f>
        <v>0</v>
      </c>
      <c r="P41" s="9"/>
      <c r="Q41" s="9"/>
      <c r="R41" s="9"/>
      <c r="S41" s="9"/>
      <c r="T41" s="9"/>
      <c r="U41" s="9"/>
      <c r="V41" s="9"/>
      <c r="W41" s="9"/>
      <c r="X41" s="9"/>
      <c r="Y41" s="9"/>
      <c r="Z41" s="9"/>
      <c r="AA41" s="9"/>
      <c r="AB41" s="9"/>
      <c r="AC41" s="9"/>
      <c r="AD41" s="9"/>
      <c r="AE41" s="284"/>
      <c r="AF41" s="310">
        <f t="shared" si="10"/>
        <v>0</v>
      </c>
    </row>
    <row r="42" spans="1:33" ht="13.5" x14ac:dyDescent="0.25">
      <c r="A42" s="193" t="str">
        <f t="shared" si="11"/>
        <v/>
      </c>
      <c r="B42" s="237"/>
      <c r="C42" s="193"/>
      <c r="D42" s="322" t="str">
        <f>IF(Group!G28=0," ",Group!G28)</f>
        <v xml:space="preserve"> </v>
      </c>
      <c r="E42" s="307" t="str">
        <f t="shared" si="12"/>
        <v/>
      </c>
      <c r="F42" s="308" t="str">
        <f t="shared" si="13"/>
        <v/>
      </c>
      <c r="G42" s="309" t="str">
        <f>IF(Group!G28=0," ",Group!H28)</f>
        <v xml:space="preserve"> </v>
      </c>
      <c r="H42" s="9"/>
      <c r="I42" s="9"/>
      <c r="J42" s="9"/>
      <c r="K42" s="130">
        <f>IF(Entrants!BJ$45&gt;0,0,IF(Group!G28=0,0,1))</f>
        <v>0</v>
      </c>
      <c r="L42" s="142" t="s">
        <v>279</v>
      </c>
      <c r="M42" s="382">
        <f t="shared" si="9"/>
        <v>5.5</v>
      </c>
      <c r="N42" s="142" t="s">
        <v>280</v>
      </c>
      <c r="O42" s="382">
        <f t="shared" si="14"/>
        <v>0</v>
      </c>
      <c r="P42" s="9"/>
      <c r="Q42" s="9"/>
      <c r="R42" s="9"/>
      <c r="S42" s="9"/>
      <c r="T42" s="9"/>
      <c r="U42" s="9"/>
      <c r="V42" s="9"/>
      <c r="W42" s="9"/>
      <c r="X42" s="9"/>
      <c r="Y42" s="9"/>
      <c r="Z42" s="9"/>
      <c r="AA42" s="9"/>
      <c r="AB42" s="9"/>
      <c r="AC42" s="9"/>
      <c r="AD42" s="9"/>
      <c r="AE42" s="284"/>
      <c r="AF42" s="310">
        <f t="shared" si="10"/>
        <v>0</v>
      </c>
    </row>
    <row r="43" spans="1:33" ht="13.5" x14ac:dyDescent="0.25">
      <c r="A43" s="193" t="str">
        <f t="shared" si="11"/>
        <v/>
      </c>
      <c r="B43" s="237"/>
      <c r="C43" s="193"/>
      <c r="D43" s="322" t="str">
        <f>IF(Group!G29=0," ",Group!G29)</f>
        <v xml:space="preserve"> </v>
      </c>
      <c r="E43" s="307" t="str">
        <f t="shared" si="12"/>
        <v/>
      </c>
      <c r="F43" s="308" t="str">
        <f t="shared" si="13"/>
        <v/>
      </c>
      <c r="G43" s="309" t="str">
        <f>IF(Group!G29=0," ",Group!H29)</f>
        <v xml:space="preserve"> </v>
      </c>
      <c r="H43" s="9"/>
      <c r="I43" s="9"/>
      <c r="J43" s="9"/>
      <c r="K43" s="130">
        <f>IF(Entrants!BJ$45&gt;0,0,IF(Group!G29=0,0,1))</f>
        <v>0</v>
      </c>
      <c r="L43" s="142" t="s">
        <v>279</v>
      </c>
      <c r="M43" s="382">
        <f t="shared" si="9"/>
        <v>5.5</v>
      </c>
      <c r="N43" s="142" t="s">
        <v>280</v>
      </c>
      <c r="O43" s="382">
        <f t="shared" si="14"/>
        <v>0</v>
      </c>
      <c r="P43" s="9"/>
      <c r="Q43" s="9"/>
      <c r="R43" s="9"/>
      <c r="S43" s="9"/>
      <c r="T43" s="9"/>
      <c r="U43" s="9"/>
      <c r="V43" s="9"/>
      <c r="W43" s="9"/>
      <c r="X43" s="9"/>
      <c r="Y43" s="9"/>
      <c r="Z43" s="9"/>
      <c r="AA43" s="9"/>
      <c r="AB43" s="9"/>
      <c r="AC43" s="9"/>
      <c r="AD43" s="9"/>
      <c r="AE43" s="284"/>
      <c r="AF43" s="310">
        <f t="shared" si="10"/>
        <v>0</v>
      </c>
    </row>
    <row r="44" spans="1:33" ht="13.5" x14ac:dyDescent="0.25">
      <c r="A44" s="193" t="str">
        <f t="shared" si="11"/>
        <v/>
      </c>
      <c r="B44" s="237"/>
      <c r="C44" s="193"/>
      <c r="D44" s="322" t="str">
        <f>IF(Group!G30=0," ",Group!G30)</f>
        <v xml:space="preserve"> </v>
      </c>
      <c r="E44" s="307" t="str">
        <f t="shared" si="12"/>
        <v/>
      </c>
      <c r="F44" s="308" t="str">
        <f t="shared" si="13"/>
        <v/>
      </c>
      <c r="G44" s="309" t="str">
        <f>IF(Group!G30=0," ",Group!H30)</f>
        <v xml:space="preserve"> </v>
      </c>
      <c r="H44" s="9"/>
      <c r="I44" s="9"/>
      <c r="J44" s="9"/>
      <c r="K44" s="130">
        <f>IF(Entrants!BJ$45&gt;0,0,IF(Group!G30=0,0,1))</f>
        <v>0</v>
      </c>
      <c r="L44" s="142" t="s">
        <v>279</v>
      </c>
      <c r="M44" s="382">
        <f t="shared" si="9"/>
        <v>5.5</v>
      </c>
      <c r="N44" s="142" t="s">
        <v>280</v>
      </c>
      <c r="O44" s="382">
        <f t="shared" si="14"/>
        <v>0</v>
      </c>
      <c r="P44" s="9"/>
      <c r="Q44" s="9"/>
      <c r="R44" s="9"/>
      <c r="S44" s="9"/>
      <c r="T44" s="9"/>
      <c r="U44" s="9"/>
      <c r="V44" s="9"/>
      <c r="W44" s="9"/>
      <c r="X44" s="9"/>
      <c r="Y44" s="9"/>
      <c r="Z44" s="9"/>
      <c r="AA44" s="9"/>
      <c r="AB44" s="9"/>
      <c r="AC44" s="9"/>
      <c r="AD44" s="9"/>
      <c r="AE44" s="284"/>
      <c r="AF44" s="310">
        <f t="shared" si="10"/>
        <v>0</v>
      </c>
    </row>
    <row r="45" spans="1:33" ht="13.5" x14ac:dyDescent="0.25">
      <c r="A45" s="193"/>
      <c r="B45" s="237"/>
      <c r="C45" s="193"/>
      <c r="D45" s="322" t="str">
        <f>IF(Group!G31=0," ",Group!G31)</f>
        <v xml:space="preserve"> </v>
      </c>
      <c r="E45" s="307" t="str">
        <f t="shared" si="12"/>
        <v/>
      </c>
      <c r="F45" s="308" t="str">
        <f t="shared" si="13"/>
        <v/>
      </c>
      <c r="G45" s="309" t="str">
        <f>IF(Group!G31=0," ",Group!H31)</f>
        <v xml:space="preserve"> </v>
      </c>
      <c r="H45" s="9"/>
      <c r="I45" s="9"/>
      <c r="J45" s="9"/>
      <c r="K45" s="130">
        <f>IF(Entrants!BJ$45&gt;0,0,IF(Group!G31=0,0,1))</f>
        <v>0</v>
      </c>
      <c r="L45" s="142" t="s">
        <v>279</v>
      </c>
      <c r="M45" s="382">
        <f t="shared" si="9"/>
        <v>5.5</v>
      </c>
      <c r="N45" s="142" t="s">
        <v>280</v>
      </c>
      <c r="O45" s="382">
        <f t="shared" si="14"/>
        <v>0</v>
      </c>
      <c r="P45" s="9"/>
      <c r="Q45" s="9"/>
      <c r="R45" s="9"/>
      <c r="S45" s="9"/>
      <c r="T45" s="9"/>
      <c r="U45" s="9"/>
      <c r="V45" s="9"/>
      <c r="W45" s="9"/>
      <c r="X45" s="9"/>
      <c r="Y45" s="9"/>
      <c r="Z45" s="9"/>
      <c r="AA45" s="9"/>
      <c r="AB45" s="9"/>
      <c r="AC45" s="9"/>
      <c r="AD45" s="9"/>
      <c r="AE45" s="284"/>
      <c r="AF45" s="310">
        <f t="shared" si="10"/>
        <v>0</v>
      </c>
    </row>
    <row r="46" spans="1:33" ht="13.5" x14ac:dyDescent="0.25">
      <c r="A46" s="193"/>
      <c r="B46" s="237"/>
      <c r="C46" s="193"/>
      <c r="D46" s="322" t="str">
        <f>IF(Group!G32=0," ",Group!G32)</f>
        <v xml:space="preserve"> </v>
      </c>
      <c r="E46" s="307" t="str">
        <f t="shared" si="12"/>
        <v/>
      </c>
      <c r="F46" s="308" t="str">
        <f t="shared" si="13"/>
        <v/>
      </c>
      <c r="G46" s="309" t="str">
        <f>IF(Group!G32=0," ",Group!H32)</f>
        <v xml:space="preserve"> </v>
      </c>
      <c r="H46" s="9"/>
      <c r="I46" s="9"/>
      <c r="J46" s="9"/>
      <c r="K46" s="130">
        <f>IF(Entrants!BJ$45&gt;0,0,IF(Group!G32=0,0,1))</f>
        <v>0</v>
      </c>
      <c r="L46" s="142" t="s">
        <v>279</v>
      </c>
      <c r="M46" s="382">
        <f t="shared" si="9"/>
        <v>5.5</v>
      </c>
      <c r="N46" s="142" t="s">
        <v>280</v>
      </c>
      <c r="O46" s="382">
        <f t="shared" si="14"/>
        <v>0</v>
      </c>
      <c r="P46" s="9"/>
      <c r="Q46" s="9"/>
      <c r="R46" s="9"/>
      <c r="S46" s="9"/>
      <c r="T46" s="9"/>
      <c r="U46" s="9"/>
      <c r="V46" s="9"/>
      <c r="W46" s="9"/>
      <c r="X46" s="9"/>
      <c r="Y46" s="9"/>
      <c r="Z46" s="9"/>
      <c r="AA46" s="9"/>
      <c r="AB46" s="9"/>
      <c r="AC46" s="9"/>
      <c r="AD46" s="9"/>
      <c r="AE46" s="284"/>
      <c r="AF46" s="310">
        <f t="shared" si="10"/>
        <v>0</v>
      </c>
    </row>
    <row r="47" spans="1:33" ht="13.5" x14ac:dyDescent="0.25">
      <c r="A47" s="193"/>
      <c r="B47" s="237"/>
      <c r="C47" s="193"/>
      <c r="D47" s="322" t="str">
        <f>IF(Group!G33=0," ",Group!G33)</f>
        <v xml:space="preserve"> </v>
      </c>
      <c r="E47" s="307" t="str">
        <f t="shared" si="12"/>
        <v/>
      </c>
      <c r="F47" s="308" t="str">
        <f t="shared" si="13"/>
        <v/>
      </c>
      <c r="G47" s="309" t="str">
        <f>IF(Group!G33=0," ",Group!H33)</f>
        <v xml:space="preserve"> </v>
      </c>
      <c r="H47" s="9"/>
      <c r="I47" s="9"/>
      <c r="J47" s="9"/>
      <c r="K47" s="130">
        <f>IF(Entrants!BJ$45&gt;0,0,IF(Group!G33=0,0,1))</f>
        <v>0</v>
      </c>
      <c r="L47" s="142" t="s">
        <v>279</v>
      </c>
      <c r="M47" s="382">
        <f t="shared" si="9"/>
        <v>5.5</v>
      </c>
      <c r="N47" s="142" t="s">
        <v>280</v>
      </c>
      <c r="O47" s="382">
        <f t="shared" si="14"/>
        <v>0</v>
      </c>
      <c r="P47" s="9"/>
      <c r="Q47" s="9"/>
      <c r="R47" s="9"/>
      <c r="S47" s="9"/>
      <c r="T47" s="9"/>
      <c r="U47" s="9"/>
      <c r="V47" s="9"/>
      <c r="W47" s="9"/>
      <c r="X47" s="9"/>
      <c r="Y47" s="9"/>
      <c r="Z47" s="9"/>
      <c r="AA47" s="9"/>
      <c r="AB47" s="9"/>
      <c r="AC47" s="9"/>
      <c r="AD47" s="9"/>
      <c r="AE47" s="284"/>
      <c r="AF47" s="310">
        <f t="shared" si="10"/>
        <v>0</v>
      </c>
    </row>
    <row r="48" spans="1:33" ht="13.5" x14ac:dyDescent="0.25">
      <c r="A48" s="193" t="str">
        <f t="shared" si="11"/>
        <v/>
      </c>
      <c r="B48" s="237"/>
      <c r="C48" s="193"/>
      <c r="D48" s="322" t="str">
        <f>IF(Group!G34=0," ",Group!G34)</f>
        <v xml:space="preserve"> </v>
      </c>
      <c r="E48" s="307" t="str">
        <f t="shared" si="12"/>
        <v/>
      </c>
      <c r="F48" s="308" t="str">
        <f t="shared" si="13"/>
        <v/>
      </c>
      <c r="G48" s="309" t="str">
        <f>IF(Group!G34=0," ",Group!H34)</f>
        <v xml:space="preserve"> </v>
      </c>
      <c r="H48" s="9"/>
      <c r="I48" s="9"/>
      <c r="J48" s="9"/>
      <c r="K48" s="130">
        <f>IF(Entrants!BJ$45&gt;0,0,IF(Group!G34=0,0,1))</f>
        <v>0</v>
      </c>
      <c r="L48" s="142" t="s">
        <v>279</v>
      </c>
      <c r="M48" s="382">
        <f t="shared" si="9"/>
        <v>5.5</v>
      </c>
      <c r="N48" s="142" t="s">
        <v>280</v>
      </c>
      <c r="O48" s="382">
        <f t="shared" si="14"/>
        <v>0</v>
      </c>
      <c r="P48" s="9"/>
      <c r="Q48" s="9"/>
      <c r="R48" s="9"/>
      <c r="S48" s="9"/>
      <c r="T48" s="9"/>
      <c r="U48" s="9"/>
      <c r="V48" s="9"/>
      <c r="W48" s="9"/>
      <c r="X48" s="9"/>
      <c r="Y48" s="9"/>
      <c r="Z48" s="9"/>
      <c r="AA48" s="9"/>
      <c r="AB48" s="9"/>
      <c r="AC48" s="9"/>
      <c r="AD48" s="9"/>
      <c r="AE48" s="284"/>
      <c r="AF48" s="310">
        <f t="shared" si="10"/>
        <v>0</v>
      </c>
    </row>
    <row r="49" spans="1:32" ht="13.5" x14ac:dyDescent="0.25">
      <c r="A49" s="193" t="str">
        <f t="shared" si="11"/>
        <v/>
      </c>
      <c r="B49" s="237"/>
      <c r="C49" s="193"/>
      <c r="D49" s="322" t="str">
        <f>IF(Group!G35=0," ",Group!G35)</f>
        <v xml:space="preserve"> </v>
      </c>
      <c r="E49" s="307" t="str">
        <f t="shared" si="12"/>
        <v/>
      </c>
      <c r="F49" s="308" t="str">
        <f t="shared" si="13"/>
        <v/>
      </c>
      <c r="G49" s="309" t="str">
        <f>IF(Group!G35=0," ",Group!H35)</f>
        <v xml:space="preserve"> </v>
      </c>
      <c r="H49" s="9"/>
      <c r="I49" s="9"/>
      <c r="J49" s="9"/>
      <c r="K49" s="130">
        <f>IF(Entrants!BJ$45&gt;0,0,IF(Group!G35=0,0,1))</f>
        <v>0</v>
      </c>
      <c r="L49" s="142" t="s">
        <v>279</v>
      </c>
      <c r="M49" s="382">
        <f t="shared" si="9"/>
        <v>5.5</v>
      </c>
      <c r="N49" s="142" t="s">
        <v>280</v>
      </c>
      <c r="O49" s="382">
        <f t="shared" si="14"/>
        <v>0</v>
      </c>
      <c r="P49" s="9"/>
      <c r="Q49" s="9"/>
      <c r="R49" s="9"/>
      <c r="S49" s="9"/>
      <c r="T49" s="9"/>
      <c r="U49" s="9"/>
      <c r="V49" s="9"/>
      <c r="W49" s="9"/>
      <c r="X49" s="9"/>
      <c r="Y49" s="9"/>
      <c r="Z49" s="9"/>
      <c r="AA49" s="9"/>
      <c r="AB49" s="9"/>
      <c r="AC49" s="9"/>
      <c r="AD49" s="9"/>
      <c r="AE49" s="284"/>
      <c r="AF49" s="310">
        <f t="shared" si="10"/>
        <v>0</v>
      </c>
    </row>
    <row r="50" spans="1:32" ht="13.5" x14ac:dyDescent="0.25">
      <c r="A50" s="193" t="str">
        <f t="shared" si="11"/>
        <v/>
      </c>
      <c r="B50" s="237"/>
      <c r="C50" s="193"/>
      <c r="D50" s="322" t="str">
        <f>IF(Group!G36=0," ",Group!G36)</f>
        <v xml:space="preserve"> </v>
      </c>
      <c r="E50" s="307" t="str">
        <f t="shared" si="12"/>
        <v/>
      </c>
      <c r="F50" s="308" t="str">
        <f t="shared" si="13"/>
        <v/>
      </c>
      <c r="G50" s="309" t="str">
        <f>IF(Group!G36=0," ",Group!H36)</f>
        <v xml:space="preserve"> </v>
      </c>
      <c r="H50" s="9"/>
      <c r="I50" s="9"/>
      <c r="J50" s="9"/>
      <c r="K50" s="130">
        <f>IF(Entrants!BJ$45&gt;0,0,IF(Group!G36=0,0,1))</f>
        <v>0</v>
      </c>
      <c r="L50" s="142" t="s">
        <v>279</v>
      </c>
      <c r="M50" s="382">
        <f t="shared" si="9"/>
        <v>5.5</v>
      </c>
      <c r="N50" s="142" t="s">
        <v>280</v>
      </c>
      <c r="O50" s="382">
        <f t="shared" si="14"/>
        <v>0</v>
      </c>
      <c r="P50" s="9"/>
      <c r="Q50" s="9"/>
      <c r="R50" s="9"/>
      <c r="S50" s="9"/>
      <c r="T50" s="9"/>
      <c r="U50" s="9"/>
      <c r="V50" s="9"/>
      <c r="W50" s="9"/>
      <c r="X50" s="9"/>
      <c r="Y50" s="9"/>
      <c r="Z50" s="9"/>
      <c r="AA50" s="9"/>
      <c r="AB50" s="9"/>
      <c r="AC50" s="9"/>
      <c r="AD50" s="9"/>
      <c r="AE50" s="284"/>
      <c r="AF50" s="310">
        <f t="shared" si="10"/>
        <v>0</v>
      </c>
    </row>
    <row r="51" spans="1:32" ht="14.25" thickBot="1" x14ac:dyDescent="0.3">
      <c r="A51" s="193" t="str">
        <f t="shared" si="11"/>
        <v/>
      </c>
      <c r="B51" s="237"/>
      <c r="C51" s="193"/>
      <c r="D51" s="322" t="str">
        <f>IF(Group!G37=0," ",Group!G37)</f>
        <v xml:space="preserve"> </v>
      </c>
      <c r="E51" s="307" t="str">
        <f t="shared" si="12"/>
        <v/>
      </c>
      <c r="F51" s="308" t="str">
        <f t="shared" si="13"/>
        <v/>
      </c>
      <c r="G51" s="309" t="str">
        <f>IF(Group!G37=0," ",Group!H37)</f>
        <v xml:space="preserve"> </v>
      </c>
      <c r="H51" s="9"/>
      <c r="I51" s="9"/>
      <c r="J51" s="9"/>
      <c r="K51" s="130">
        <f>IF(Entrants!BJ$45&gt;0,0,IF(Group!G37=0,0,1))</f>
        <v>0</v>
      </c>
      <c r="L51" s="142" t="s">
        <v>279</v>
      </c>
      <c r="M51" s="382">
        <f t="shared" si="9"/>
        <v>5.5</v>
      </c>
      <c r="N51" s="142" t="s">
        <v>280</v>
      </c>
      <c r="O51" s="382">
        <f t="shared" si="14"/>
        <v>0</v>
      </c>
      <c r="P51" s="9"/>
      <c r="Q51" s="9"/>
      <c r="R51" s="9"/>
      <c r="S51" s="9"/>
      <c r="T51" s="9"/>
      <c r="U51" s="9"/>
      <c r="V51" s="9"/>
      <c r="W51" s="9"/>
      <c r="X51" s="9"/>
      <c r="Y51" s="9"/>
      <c r="Z51" s="9"/>
      <c r="AA51" s="9"/>
      <c r="AB51" s="9"/>
      <c r="AC51" s="9"/>
      <c r="AD51" s="9"/>
      <c r="AE51" s="284"/>
      <c r="AF51" s="310">
        <f t="shared" si="10"/>
        <v>0</v>
      </c>
    </row>
    <row r="52" spans="1:32" ht="33.75" customHeight="1" thickBot="1" x14ac:dyDescent="0.3">
      <c r="D52" s="322"/>
      <c r="E52" s="30"/>
      <c r="F52" s="31"/>
      <c r="G52" s="31"/>
      <c r="H52" s="31"/>
      <c r="I52" s="31"/>
      <c r="J52" s="31"/>
      <c r="K52" s="31">
        <f>SUM(K40:K51)</f>
        <v>0</v>
      </c>
      <c r="L52" s="31"/>
      <c r="M52" s="31"/>
      <c r="N52" s="311" t="str">
        <f>E39</f>
        <v>Non-Shooting adults</v>
      </c>
      <c r="O52" s="383">
        <f>SUM(O40:O51)</f>
        <v>0</v>
      </c>
      <c r="P52" s="31"/>
      <c r="Q52" s="31"/>
      <c r="R52" s="31"/>
      <c r="S52" s="31"/>
      <c r="T52" s="31"/>
      <c r="U52" s="31"/>
      <c r="V52" s="31"/>
      <c r="W52" s="31"/>
      <c r="X52" s="31"/>
      <c r="Y52" s="31"/>
      <c r="Z52" s="31"/>
      <c r="AA52" s="31"/>
      <c r="AB52" s="31"/>
      <c r="AC52" s="31"/>
      <c r="AD52" s="312" t="s">
        <v>591</v>
      </c>
      <c r="AE52" s="331"/>
      <c r="AF52" s="321">
        <f>SUM(AF38:AF51)</f>
        <v>0</v>
      </c>
    </row>
    <row r="53" spans="1:32" ht="15.75" x14ac:dyDescent="0.25">
      <c r="A53" s="192">
        <f>AF52</f>
        <v>0</v>
      </c>
      <c r="B53" s="238"/>
      <c r="C53" s="192"/>
      <c r="D53" s="192"/>
    </row>
  </sheetData>
  <sheetProtection password="C858" sheet="1" objects="1" scenarios="1"/>
  <mergeCells count="22">
    <mergeCell ref="E2:H2"/>
    <mergeCell ref="I2:AE2"/>
    <mergeCell ref="U5:W5"/>
    <mergeCell ref="Z5:AA5"/>
    <mergeCell ref="E3:F3"/>
    <mergeCell ref="O3:AD3"/>
    <mergeCell ref="E4:F4"/>
    <mergeCell ref="O4:W4"/>
    <mergeCell ref="X4:AC4"/>
    <mergeCell ref="U8:W8"/>
    <mergeCell ref="Z8:AA8"/>
    <mergeCell ref="AB5:AD5"/>
    <mergeCell ref="E6:F6"/>
    <mergeCell ref="R6:S6"/>
    <mergeCell ref="U6:W6"/>
    <mergeCell ref="Z6:AA6"/>
    <mergeCell ref="AB6:AD6"/>
    <mergeCell ref="E5:F5"/>
    <mergeCell ref="R5:S5"/>
    <mergeCell ref="X8:Y8"/>
    <mergeCell ref="X5:Y5"/>
    <mergeCell ref="X6:Y6"/>
  </mergeCells>
  <phoneticPr fontId="13" type="noConversion"/>
  <pageMargins left="0.25" right="0.25" top="0.75" bottom="0.75" header="0.3" footer="0.3"/>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6"/>
  <sheetViews>
    <sheetView zoomScale="89" zoomScaleNormal="89" workbookViewId="0">
      <selection activeCell="M5" sqref="M5"/>
    </sheetView>
  </sheetViews>
  <sheetFormatPr defaultRowHeight="12.75" x14ac:dyDescent="0.2"/>
  <cols>
    <col min="1" max="1" width="7.85546875" customWidth="1"/>
    <col min="2" max="2" width="16.7109375" customWidth="1"/>
    <col min="3" max="3" width="37.42578125" customWidth="1"/>
    <col min="4" max="4" width="19.42578125" customWidth="1"/>
    <col min="5" max="5" width="30.28515625" customWidth="1"/>
    <col min="6" max="6" width="12" customWidth="1"/>
    <col min="7" max="7" width="25.42578125" customWidth="1"/>
    <col min="8" max="8" width="12.5703125" customWidth="1"/>
    <col min="9" max="9" width="6.42578125" customWidth="1"/>
    <col min="11" max="11" width="0" hidden="1" customWidth="1"/>
    <col min="12" max="12" width="5.7109375" customWidth="1"/>
  </cols>
  <sheetData>
    <row r="1" spans="1:9" x14ac:dyDescent="0.2">
      <c r="A1" s="74"/>
    </row>
    <row r="2" spans="1:9" ht="15.75" x14ac:dyDescent="0.25">
      <c r="A2" s="75"/>
      <c r="E2" s="78" t="str">
        <f>Entrants!I3</f>
        <v xml:space="preserve">FORTY-FIRST NATIONAL SCOUT RIFLE CHAMPIONSHIPS </v>
      </c>
    </row>
    <row r="3" spans="1:9" ht="15.75" x14ac:dyDescent="0.25">
      <c r="A3" s="76"/>
      <c r="E3" s="78" t="str">
        <f>Entrants!I4</f>
        <v>BISLEY, 20th  – 22nd October 2017</v>
      </c>
    </row>
    <row r="4" spans="1:9" ht="15.75" x14ac:dyDescent="0.25">
      <c r="A4" s="77"/>
      <c r="E4" s="79" t="s">
        <v>300</v>
      </c>
    </row>
    <row r="5" spans="1:9" ht="15.75" x14ac:dyDescent="0.25">
      <c r="E5" s="80" t="s">
        <v>1006</v>
      </c>
    </row>
    <row r="6" spans="1:9" ht="13.5" thickBot="1" x14ac:dyDescent="0.25"/>
    <row r="7" spans="1:9" ht="15.75" customHeight="1" x14ac:dyDescent="0.2">
      <c r="B7" s="256" t="s">
        <v>283</v>
      </c>
      <c r="C7" s="544" t="str">
        <f>B23</f>
        <v/>
      </c>
      <c r="D7" s="545"/>
      <c r="E7" s="546"/>
      <c r="F7" s="47" t="s">
        <v>304</v>
      </c>
      <c r="G7" s="304"/>
      <c r="H7" s="305">
        <f>Entrants!D10</f>
        <v>0</v>
      </c>
      <c r="I7" s="36"/>
    </row>
    <row r="8" spans="1:9" ht="16.5" customHeight="1" x14ac:dyDescent="0.2">
      <c r="B8" s="547" t="str">
        <f>IF(Entrants!H10=""," -",Entrants!H10)</f>
        <v xml:space="preserve"> -</v>
      </c>
      <c r="C8" s="548"/>
      <c r="D8" s="549"/>
      <c r="E8" s="550"/>
      <c r="F8" s="567" t="s">
        <v>306</v>
      </c>
      <c r="G8" s="568"/>
      <c r="H8" s="568"/>
      <c r="I8" s="569"/>
    </row>
    <row r="9" spans="1:9" ht="31.5" customHeight="1" x14ac:dyDescent="0.2">
      <c r="B9" s="50" t="s">
        <v>295</v>
      </c>
      <c r="C9" s="118" t="str">
        <f>IF(Entrants!N10=""," -",Entrants!N10)</f>
        <v xml:space="preserve"> -</v>
      </c>
      <c r="D9" s="51" t="s">
        <v>296</v>
      </c>
      <c r="E9" s="69" t="str">
        <f>IF(Entrants!U10=""," -",Entrants!U10)</f>
        <v xml:space="preserve"> -</v>
      </c>
      <c r="F9" s="567" t="s">
        <v>305</v>
      </c>
      <c r="G9" s="568"/>
      <c r="H9" s="568"/>
      <c r="I9" s="569"/>
    </row>
    <row r="10" spans="1:9" ht="17.25" customHeight="1" thickBot="1" x14ac:dyDescent="0.25">
      <c r="B10" s="123" t="s">
        <v>285</v>
      </c>
      <c r="C10" s="570"/>
      <c r="D10" s="571"/>
      <c r="E10" s="572"/>
      <c r="F10" s="567" t="s">
        <v>284</v>
      </c>
      <c r="G10" s="568"/>
      <c r="H10" s="568"/>
      <c r="I10" s="569"/>
    </row>
    <row r="11" spans="1:9" ht="17.25" customHeight="1" x14ac:dyDescent="0.2">
      <c r="B11" s="576" t="s">
        <v>372</v>
      </c>
      <c r="C11" s="577"/>
      <c r="D11" s="577"/>
      <c r="E11" s="578" t="s">
        <v>598</v>
      </c>
      <c r="F11" s="579"/>
      <c r="G11" s="579"/>
      <c r="H11" s="579"/>
      <c r="I11" s="580"/>
    </row>
    <row r="12" spans="1:9" ht="16.5" customHeight="1" x14ac:dyDescent="0.2">
      <c r="B12" s="120" t="s">
        <v>369</v>
      </c>
      <c r="C12" s="551"/>
      <c r="D12" s="596"/>
      <c r="E12" s="325" t="s">
        <v>596</v>
      </c>
      <c r="F12" s="556"/>
      <c r="G12" s="557"/>
      <c r="H12" s="557"/>
      <c r="I12" s="558"/>
    </row>
    <row r="13" spans="1:9" ht="15" customHeight="1" x14ac:dyDescent="0.2">
      <c r="B13" s="124" t="s">
        <v>370</v>
      </c>
      <c r="C13" s="597"/>
      <c r="D13" s="596"/>
      <c r="E13" s="565" t="s">
        <v>597</v>
      </c>
      <c r="F13" s="559"/>
      <c r="G13" s="560"/>
      <c r="H13" s="560"/>
      <c r="I13" s="561"/>
    </row>
    <row r="14" spans="1:9" ht="14.25" customHeight="1" x14ac:dyDescent="0.2">
      <c r="B14" s="52"/>
      <c r="C14" s="122" t="s">
        <v>297</v>
      </c>
      <c r="D14" s="121"/>
      <c r="E14" s="566"/>
      <c r="F14" s="562"/>
      <c r="G14" s="563"/>
      <c r="H14" s="563"/>
      <c r="I14" s="564"/>
    </row>
    <row r="15" spans="1:9" ht="15.75" customHeight="1" x14ac:dyDescent="0.2">
      <c r="B15" s="125" t="s">
        <v>371</v>
      </c>
      <c r="C15" s="551"/>
      <c r="D15" s="552"/>
      <c r="E15" s="124" t="s">
        <v>297</v>
      </c>
      <c r="F15" s="606"/>
      <c r="G15" s="607"/>
      <c r="H15" s="607"/>
      <c r="I15" s="608"/>
    </row>
    <row r="16" spans="1:9" ht="13.5" thickBot="1" x14ac:dyDescent="0.25">
      <c r="B16" s="126" t="s">
        <v>286</v>
      </c>
      <c r="C16" s="539"/>
      <c r="D16" s="595"/>
      <c r="E16" s="127" t="s">
        <v>595</v>
      </c>
      <c r="F16" s="573"/>
      <c r="G16" s="574"/>
      <c r="H16" s="574"/>
      <c r="I16" s="575"/>
    </row>
    <row r="17" spans="2:11" ht="26.25" customHeight="1" x14ac:dyDescent="0.2">
      <c r="B17" s="598" t="s">
        <v>287</v>
      </c>
      <c r="C17" s="599"/>
      <c r="D17" s="599"/>
      <c r="E17" s="600"/>
      <c r="F17" s="600"/>
      <c r="G17" s="600"/>
      <c r="H17" s="600"/>
      <c r="I17" s="601"/>
    </row>
    <row r="18" spans="2:11" ht="10.5" customHeight="1" x14ac:dyDescent="0.2">
      <c r="B18" s="553"/>
      <c r="C18" s="554"/>
      <c r="D18" s="554"/>
      <c r="E18" s="554"/>
      <c r="F18" s="554"/>
      <c r="G18" s="554"/>
      <c r="H18" s="554"/>
      <c r="I18" s="555"/>
    </row>
    <row r="19" spans="2:11" ht="24" customHeight="1" x14ac:dyDescent="0.2">
      <c r="B19" s="255" t="s">
        <v>288</v>
      </c>
      <c r="C19" s="614" t="str">
        <f>B23</f>
        <v/>
      </c>
      <c r="D19" s="615"/>
      <c r="E19" s="616"/>
      <c r="F19" s="617" t="s">
        <v>289</v>
      </c>
      <c r="G19" s="618"/>
      <c r="H19" s="618"/>
      <c r="I19" s="619"/>
    </row>
    <row r="20" spans="2:11" ht="16.5" customHeight="1" x14ac:dyDescent="0.2">
      <c r="B20" s="592" t="s">
        <v>599</v>
      </c>
      <c r="C20" s="593"/>
      <c r="D20" s="593"/>
      <c r="E20" s="594"/>
      <c r="F20" s="609"/>
      <c r="G20" s="552"/>
      <c r="H20" s="552"/>
      <c r="I20" s="610"/>
    </row>
    <row r="21" spans="2:11" ht="18" customHeight="1" thickBot="1" x14ac:dyDescent="0.25">
      <c r="B21" s="44" t="s">
        <v>290</v>
      </c>
      <c r="C21" s="539"/>
      <c r="D21" s="540"/>
      <c r="E21" s="541"/>
      <c r="F21" s="44" t="s">
        <v>291</v>
      </c>
      <c r="G21" s="611"/>
      <c r="H21" s="612"/>
      <c r="I21" s="613"/>
    </row>
    <row r="22" spans="2:11" ht="18" customHeight="1" thickBot="1" x14ac:dyDescent="0.25">
      <c r="B22" s="537" t="s">
        <v>593</v>
      </c>
      <c r="C22" s="528"/>
      <c r="D22" s="528"/>
      <c r="E22" s="324"/>
      <c r="F22" s="375"/>
      <c r="G22" s="602" t="s">
        <v>689</v>
      </c>
      <c r="H22" s="588"/>
      <c r="I22" s="603"/>
    </row>
    <row r="23" spans="2:11" ht="27" customHeight="1" thickBot="1" x14ac:dyDescent="0.25">
      <c r="B23" s="542" t="str">
        <f>IF(Major_Errors&gt;0,"ERRORS IN ENTRY - INVALID","")</f>
        <v/>
      </c>
      <c r="C23" s="543"/>
      <c r="D23" s="543"/>
      <c r="E23" s="543"/>
      <c r="F23" s="373"/>
      <c r="G23" s="591" t="s">
        <v>842</v>
      </c>
      <c r="H23" s="604"/>
      <c r="I23" s="605"/>
    </row>
    <row r="24" spans="2:11" ht="16.5" customHeight="1" thickBot="1" x14ac:dyDescent="0.25">
      <c r="B24" s="537" t="s">
        <v>293</v>
      </c>
      <c r="C24" s="528"/>
      <c r="D24" s="323" t="s">
        <v>292</v>
      </c>
      <c r="E24" s="274"/>
      <c r="F24" s="374"/>
      <c r="G24" s="591" t="s">
        <v>843</v>
      </c>
      <c r="H24" s="560"/>
      <c r="I24" s="561"/>
    </row>
    <row r="25" spans="2:11" ht="24" customHeight="1" thickBot="1" x14ac:dyDescent="0.25">
      <c r="B25" s="46" t="s">
        <v>294</v>
      </c>
      <c r="C25" s="49"/>
      <c r="D25" s="537"/>
      <c r="E25" s="538"/>
      <c r="F25" s="373"/>
      <c r="G25" s="372" t="s">
        <v>589</v>
      </c>
      <c r="H25" s="535" t="s">
        <v>588</v>
      </c>
      <c r="I25" s="536"/>
      <c r="K25" s="271" t="s">
        <v>586</v>
      </c>
    </row>
    <row r="26" spans="2:11" ht="15.75" customHeight="1" thickBot="1" x14ac:dyDescent="0.25">
      <c r="B26" s="70">
        <f>IF(Entrants!$BJ$45=0,'Cost Calc'!I38,0)</f>
        <v>0</v>
      </c>
      <c r="C26" s="587" t="str">
        <f>CONCATENATE("Main Competition entrants @ £",'Cost Calc'!K$38," each:")</f>
        <v>Main Competition entrants @ £21.25 each:</v>
      </c>
      <c r="D26" s="588"/>
      <c r="E26" s="588"/>
      <c r="F26" s="369">
        <f>B26*'Cost Calc'!K38</f>
        <v>0</v>
      </c>
      <c r="G26" s="384"/>
      <c r="H26" s="533"/>
      <c r="I26" s="534"/>
      <c r="K26" s="271" t="s">
        <v>587</v>
      </c>
    </row>
    <row r="27" spans="2:11" ht="13.5" customHeight="1" thickBot="1" x14ac:dyDescent="0.25">
      <c r="B27" s="70">
        <f>IF(Entrants!$BJ$45=0,'Cost Calc'!I36+'Cost Calc'!H52,0)</f>
        <v>0</v>
      </c>
      <c r="C27" s="587" t="str">
        <f>CONCATENATE("Range Officers @ £",'Cost Calc'!K$36," each: (Photo copies of relevant certificates required)")</f>
        <v>Range Officers @ £1.5 each: (Photo copies of relevant certificates required)</v>
      </c>
      <c r="D27" s="588"/>
      <c r="E27" s="588"/>
      <c r="F27" s="369">
        <f>B27*'Cost Calc'!K36</f>
        <v>0</v>
      </c>
      <c r="G27" s="384"/>
      <c r="H27" s="533"/>
      <c r="I27" s="534"/>
    </row>
    <row r="28" spans="2:11" ht="15.75" customHeight="1" thickBot="1" x14ac:dyDescent="0.25">
      <c r="B28" s="70">
        <f>IF(Entrants!$BJ$45=0,SUM('Cost Calc'!O36:Q36)+'Cost Calc'!Y36+'Cost Calc'!X36,0)</f>
        <v>0</v>
      </c>
      <c r="C28" s="587" t="str">
        <f>CONCATENATE("Own Rifle (6yd), Own Pistol, Vintage Rifle and Target Sprint entries @ £",'Cost Calc'!O8," per person per class:")</f>
        <v>Own Rifle (6yd), Own Pistol, Vintage Rifle and Target Sprint entries @ £4 per person per class:</v>
      </c>
      <c r="D28" s="588"/>
      <c r="E28" s="588"/>
      <c r="F28" s="369">
        <f>B28*'Cost Calc'!O8</f>
        <v>0</v>
      </c>
      <c r="G28" s="384"/>
      <c r="H28" s="533"/>
      <c r="I28" s="534"/>
    </row>
    <row r="29" spans="2:11" ht="16.5" customHeight="1" thickBot="1" x14ac:dyDescent="0.25">
      <c r="B29" s="70">
        <f>IF(Entrants!$BJ$45=0,SUM('Cost Calc'!R36:S36),0)</f>
        <v>0</v>
      </c>
      <c r="C29" s="587" t="str">
        <f>CONCATENATE("Own Rifle (10 metre – electronic targets) @ £",'Cost Calc'!R8," per person:")</f>
        <v>Own Rifle (10 metre – electronic targets) @ £6.5 per person:</v>
      </c>
      <c r="D29" s="588"/>
      <c r="E29" s="588"/>
      <c r="F29" s="369">
        <f>B29*'Cost Calc'!R8</f>
        <v>0</v>
      </c>
      <c r="G29" s="384"/>
      <c r="H29" s="533"/>
      <c r="I29" s="534"/>
    </row>
    <row r="30" spans="2:11" ht="15" customHeight="1" thickBot="1" x14ac:dyDescent="0.25">
      <c r="B30" s="70">
        <f>IF(Entrants!$BJ$45=0,'Cost Calc'!AC36,0)</f>
        <v>0</v>
      </c>
      <c r="C30" s="587" t="str">
        <f>CONCATENATE("Beginners’ small-bore rifle experience shoots @ £",'Cost Calc'!AC8," per person: (Guest Day Registration Form required unless HSRC Member)")</f>
        <v>Beginners’ small-bore rifle experience shoots @ £8 per person: (Guest Day Registration Form required unless HSRC Member)</v>
      </c>
      <c r="D30" s="588"/>
      <c r="E30" s="588"/>
      <c r="F30" s="369">
        <f>B30*'Cost Calc'!AC8</f>
        <v>0</v>
      </c>
      <c r="G30" s="384"/>
      <c r="H30" s="533"/>
      <c r="I30" s="534"/>
    </row>
    <row r="31" spans="2:11" ht="14.25" customHeight="1" thickBot="1" x14ac:dyDescent="0.25">
      <c r="B31" s="73">
        <f>IF(Entrants!$BJ$45=0,('Cost Calc'!AB36+'Cost Calc'!AD36),0)</f>
        <v>0</v>
      </c>
      <c r="C31" s="587" t="str">
        <f>CONCATENATE("Small-bore rifle shoots in Class A or X @ £",'Cost Calc'!AB8," per person: (Guest Day Registration Form required unless HSRC Member)")</f>
        <v>Small-bore rifle shoots in Class A or X @ £9.5 per person: (Guest Day Registration Form required unless HSRC Member)</v>
      </c>
      <c r="D31" s="588"/>
      <c r="E31" s="588"/>
      <c r="F31" s="369">
        <f>B31*'Cost Calc'!AD8</f>
        <v>0</v>
      </c>
      <c r="G31" s="384"/>
      <c r="H31" s="533"/>
      <c r="I31" s="534"/>
    </row>
    <row r="32" spans="2:11" ht="17.25" customHeight="1" thickBot="1" x14ac:dyDescent="0.25">
      <c r="B32" s="73">
        <f>IF(Entrants!$BJ$45=0,('Cost Calc'!Z36+'Cost Calc'!AA36),0)</f>
        <v>0</v>
      </c>
      <c r="C32" s="587" t="str">
        <f>CONCATENATE("Full bore rifle experience shoots @ £",'Cost Calc'!Z8," per person: (Guest Day Registration Form required unless SCSRC Member)")</f>
        <v>Full bore rifle experience shoots @ £16.5 per person: (Guest Day Registration Form required unless SCSRC Member)</v>
      </c>
      <c r="D32" s="588"/>
      <c r="E32" s="588"/>
      <c r="F32" s="370">
        <f>B32*'Cost Calc'!Z8</f>
        <v>0</v>
      </c>
      <c r="G32" s="384"/>
      <c r="H32" s="533"/>
      <c r="I32" s="534"/>
    </row>
    <row r="33" spans="1:9" ht="15.75" customHeight="1" thickBot="1" x14ac:dyDescent="0.25">
      <c r="B33" s="73">
        <f>IF(Entrants!$BJ$45=0,'Cost Calc'!T36,0)</f>
        <v>0</v>
      </c>
      <c r="C33" s="587" t="str">
        <f>CONCATENATE("Advanced Field Target @ £",'Cost Calc'!T8," per person")</f>
        <v>Advanced Field Target @ £4 per person</v>
      </c>
      <c r="D33" s="588"/>
      <c r="E33" s="588"/>
      <c r="F33" s="369">
        <f>B33*'Cost Calc'!T8</f>
        <v>0</v>
      </c>
      <c r="G33" s="384"/>
      <c r="H33" s="533"/>
      <c r="I33" s="534"/>
    </row>
    <row r="34" spans="1:9" ht="15.75" customHeight="1" thickBot="1" x14ac:dyDescent="0.25">
      <c r="B34" s="73">
        <f>IF(Entrants!$BJ$45=0,SUM('Cost Calc'!U36:V36),0)</f>
        <v>0</v>
      </c>
      <c r="C34" s="587" t="str">
        <f>CONCATENATE("Three position Rifle @ £",'Cost Calc'!U8," per person")</f>
        <v>Three position Rifle @ £10 per person</v>
      </c>
      <c r="D34" s="588"/>
      <c r="E34" s="588"/>
      <c r="F34" s="369">
        <f>B34*'Cost Calc'!U8</f>
        <v>0</v>
      </c>
      <c r="G34" s="384"/>
      <c r="H34" s="533"/>
      <c r="I34" s="534"/>
    </row>
    <row r="35" spans="1:9" ht="15.75" customHeight="1" thickBot="1" x14ac:dyDescent="0.25">
      <c r="B35" s="73">
        <f>IF(Entrants!$BJ$45=0,'Cost Calc'!I37,0)</f>
        <v>0</v>
      </c>
      <c r="C35" s="620" t="str">
        <f>CONCATENATE("Adults competing in 'Extra Events' only (i.e No main Event entry) @ £",'Cost Calc'!K37, "each")</f>
        <v>Adults competing in 'Extra Events' only (i.e No main Event entry) @ £5.5each</v>
      </c>
      <c r="D35" s="484"/>
      <c r="E35" s="484"/>
      <c r="F35" s="371">
        <f>B35*'Cost Calc'!K37</f>
        <v>0</v>
      </c>
      <c r="G35" s="384"/>
      <c r="H35" s="533"/>
      <c r="I35" s="534"/>
    </row>
    <row r="36" spans="1:9" ht="16.5" customHeight="1" thickBot="1" x14ac:dyDescent="0.25">
      <c r="B36" s="73">
        <f>IF(Entrants!$BJ$45=0,'Cost Calc'!K52,0)</f>
        <v>0</v>
      </c>
      <c r="C36" s="587" t="str">
        <f>CONCATENATE("Non shooters excluding ROs* (adults &amp; Young Leaders only) @ £",'Cost Calc'!K37," each: (Provide names etc. in panel on Right)")</f>
        <v>Non shooters excluding ROs* (adults &amp; Young Leaders only) @ £5.5 each: (Provide names etc. in panel on Right)</v>
      </c>
      <c r="D36" s="588"/>
      <c r="E36" s="588"/>
      <c r="F36" s="71">
        <f>'Cost Calc'!O52</f>
        <v>0</v>
      </c>
      <c r="G36" s="384"/>
      <c r="H36" s="533"/>
      <c r="I36" s="534"/>
    </row>
    <row r="37" spans="1:9" ht="20.25" customHeight="1" thickBot="1" x14ac:dyDescent="0.25">
      <c r="B37" s="584" t="s">
        <v>1017</v>
      </c>
      <c r="C37" s="585"/>
      <c r="D37" s="585"/>
      <c r="E37" s="586"/>
      <c r="F37" s="72">
        <f>SUM(F26:F36)</f>
        <v>0</v>
      </c>
      <c r="G37" s="384"/>
      <c r="H37" s="533"/>
      <c r="I37" s="534"/>
    </row>
    <row r="38" spans="1:9" ht="15.75" customHeight="1" thickBot="1" x14ac:dyDescent="0.25">
      <c r="B38" s="581" t="s">
        <v>298</v>
      </c>
      <c r="C38" s="582"/>
      <c r="D38" s="53"/>
      <c r="E38" s="45" t="s">
        <v>600</v>
      </c>
      <c r="F38" s="589"/>
      <c r="G38" s="590"/>
      <c r="H38" s="590"/>
      <c r="I38" s="48" t="s">
        <v>299</v>
      </c>
    </row>
    <row r="39" spans="1:9" ht="17.25" customHeight="1" x14ac:dyDescent="0.2">
      <c r="A39" s="9"/>
      <c r="B39" s="583" t="s">
        <v>522</v>
      </c>
      <c r="C39" s="583"/>
      <c r="D39" s="583"/>
      <c r="E39" s="583"/>
      <c r="F39" s="583"/>
      <c r="G39" s="583"/>
      <c r="H39" s="583"/>
      <c r="I39" s="583"/>
    </row>
    <row r="41" spans="1:9" x14ac:dyDescent="0.2">
      <c r="A41" s="9"/>
      <c r="B41" s="9"/>
      <c r="C41" s="9"/>
      <c r="D41" s="9"/>
      <c r="E41" s="9"/>
      <c r="F41" s="9"/>
      <c r="G41" s="9"/>
      <c r="H41" s="9"/>
      <c r="I41" s="9"/>
    </row>
    <row r="42" spans="1:9" x14ac:dyDescent="0.2">
      <c r="A42" s="9"/>
      <c r="B42" s="9"/>
      <c r="C42" s="9"/>
      <c r="D42" s="9"/>
      <c r="E42" s="9"/>
      <c r="F42" s="9"/>
      <c r="G42" s="9"/>
      <c r="H42" s="9"/>
      <c r="I42" s="9"/>
    </row>
    <row r="43" spans="1:9" x14ac:dyDescent="0.2">
      <c r="A43" s="9"/>
      <c r="B43" s="554"/>
      <c r="C43" s="554"/>
      <c r="D43" s="554"/>
      <c r="E43" s="554"/>
      <c r="F43" s="554"/>
      <c r="G43" s="554"/>
      <c r="H43" s="554"/>
      <c r="I43" s="554"/>
    </row>
    <row r="44" spans="1:9" x14ac:dyDescent="0.2">
      <c r="A44" s="9"/>
      <c r="B44" s="9"/>
      <c r="C44" s="9"/>
      <c r="D44" s="9"/>
      <c r="E44" s="9"/>
      <c r="F44" s="9"/>
      <c r="G44" s="9"/>
      <c r="H44" s="9"/>
      <c r="I44" s="9"/>
    </row>
    <row r="45" spans="1:9" x14ac:dyDescent="0.2">
      <c r="A45" s="9"/>
      <c r="B45" s="9"/>
      <c r="C45" s="9"/>
      <c r="D45" s="9"/>
      <c r="E45" s="9"/>
      <c r="F45" s="9"/>
      <c r="G45" s="9"/>
      <c r="H45" s="9"/>
      <c r="I45" s="9"/>
    </row>
    <row r="46" spans="1:9" x14ac:dyDescent="0.2">
      <c r="A46" s="9"/>
      <c r="B46" s="9"/>
      <c r="C46" s="9"/>
      <c r="D46" s="9"/>
      <c r="E46" s="9"/>
      <c r="F46" s="9"/>
      <c r="G46" s="9"/>
      <c r="H46" s="9"/>
      <c r="I46" s="9"/>
    </row>
  </sheetData>
  <sheetProtection password="C858" sheet="1" objects="1" scenarios="1"/>
  <protectedRanges>
    <protectedRange sqref="C21:E21" name="Signatory Name"/>
    <protectedRange sqref="F20:I20" name="Signatory Appt"/>
    <protectedRange sqref="F20:I20" name="Signatory Appointment"/>
    <protectedRange sqref="C15:D15" name="Contact Phone"/>
    <protectedRange sqref="F12:I16" name="Home Contact details"/>
    <protectedRange sqref="C12:D12" name="Contact Name"/>
    <protectedRange sqref="D14 F15" name="Postcodes"/>
    <protectedRange sqref="G26:I37" name="Camp Only Names etc"/>
    <protectedRange sqref="D38" name="Planned Arrival Time"/>
    <protectedRange sqref="F38:H38" name="Planned Arrival day"/>
    <protectedRange sqref="C10:E10" name="Scarf"/>
    <protectedRange sqref="C13:D13" name="Contact Address"/>
    <protectedRange sqref="C16:D16" name="Contact email"/>
    <protectedRange sqref="G21:I21" name="Signatory Phone"/>
  </protectedRanges>
  <mergeCells count="61">
    <mergeCell ref="C32:E32"/>
    <mergeCell ref="C26:E26"/>
    <mergeCell ref="C27:E27"/>
    <mergeCell ref="C35:E35"/>
    <mergeCell ref="C29:E29"/>
    <mergeCell ref="C31:E31"/>
    <mergeCell ref="C28:E28"/>
    <mergeCell ref="C30:E30"/>
    <mergeCell ref="G24:I24"/>
    <mergeCell ref="B20:E20"/>
    <mergeCell ref="C16:D16"/>
    <mergeCell ref="C12:D12"/>
    <mergeCell ref="C13:D13"/>
    <mergeCell ref="B17:I17"/>
    <mergeCell ref="G22:I22"/>
    <mergeCell ref="G23:I23"/>
    <mergeCell ref="F15:I15"/>
    <mergeCell ref="F20:I20"/>
    <mergeCell ref="G21:I21"/>
    <mergeCell ref="C19:E19"/>
    <mergeCell ref="F19:I19"/>
    <mergeCell ref="B43:I43"/>
    <mergeCell ref="B38:C38"/>
    <mergeCell ref="B39:I39"/>
    <mergeCell ref="B37:E37"/>
    <mergeCell ref="C33:E33"/>
    <mergeCell ref="C34:E34"/>
    <mergeCell ref="F38:H38"/>
    <mergeCell ref="C36:E36"/>
    <mergeCell ref="H35:I35"/>
    <mergeCell ref="H36:I36"/>
    <mergeCell ref="H37:I37"/>
    <mergeCell ref="C7:E7"/>
    <mergeCell ref="B8:E8"/>
    <mergeCell ref="C15:D15"/>
    <mergeCell ref="B18:I18"/>
    <mergeCell ref="F12:I12"/>
    <mergeCell ref="F13:I14"/>
    <mergeCell ref="E13:E14"/>
    <mergeCell ref="F9:I9"/>
    <mergeCell ref="C10:E10"/>
    <mergeCell ref="F10:I10"/>
    <mergeCell ref="F16:I16"/>
    <mergeCell ref="B11:D11"/>
    <mergeCell ref="E11:I11"/>
    <mergeCell ref="F8:I8"/>
    <mergeCell ref="D25:E25"/>
    <mergeCell ref="C21:E21"/>
    <mergeCell ref="B23:E23"/>
    <mergeCell ref="B22:D22"/>
    <mergeCell ref="B24:C24"/>
    <mergeCell ref="H25:I25"/>
    <mergeCell ref="H26:I26"/>
    <mergeCell ref="H27:I27"/>
    <mergeCell ref="H28:I28"/>
    <mergeCell ref="H29:I29"/>
    <mergeCell ref="H30:I30"/>
    <mergeCell ref="H31:I31"/>
    <mergeCell ref="H32:I32"/>
    <mergeCell ref="H33:I33"/>
    <mergeCell ref="H34:I34"/>
  </mergeCells>
  <phoneticPr fontId="13" type="noConversion"/>
  <conditionalFormatting sqref="C19:E19">
    <cfRule type="notContainsBlanks" dxfId="15" priority="3" stopIfTrue="1">
      <formula>LEN(TRIM(C19))&gt;0</formula>
    </cfRule>
  </conditionalFormatting>
  <dataValidations xWindow="1096" yWindow="441" count="1">
    <dataValidation type="textLength" operator="lessThanOrEqual" allowBlank="1" showInputMessage="1" showErrorMessage="1" sqref="G21:I21">
      <formula1>40</formula1>
    </dataValidation>
  </dataValidations>
  <pageMargins left="0.23622047244094491" right="0.23622047244094491" top="0.39370078740157483" bottom="0.19685039370078741" header="0" footer="0.11811023622047245"/>
  <pageSetup paperSize="9"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L247"/>
  <sheetViews>
    <sheetView zoomScale="75" zoomScaleNormal="75" workbookViewId="0">
      <selection activeCell="K249" sqref="K249"/>
    </sheetView>
  </sheetViews>
  <sheetFormatPr defaultRowHeight="12.75" x14ac:dyDescent="0.2"/>
  <cols>
    <col min="1" max="1" width="2.42578125" customWidth="1"/>
    <col min="2" max="2" width="4" style="410" customWidth="1"/>
    <col min="5" max="5" width="10.140625" customWidth="1"/>
    <col min="7" max="7" width="12" customWidth="1"/>
    <col min="8" max="8" width="10.140625" customWidth="1"/>
    <col min="10" max="10" width="10.28515625" customWidth="1"/>
    <col min="21" max="21" width="10.28515625" customWidth="1"/>
    <col min="25" max="25" width="13.7109375" customWidth="1"/>
    <col min="26" max="26" width="13.28515625" customWidth="1"/>
    <col min="27" max="27" width="30.5703125" customWidth="1"/>
    <col min="28" max="28" width="29.140625" hidden="1" customWidth="1"/>
    <col min="29" max="29" width="12.7109375" hidden="1" customWidth="1"/>
    <col min="30" max="33" width="9.140625" hidden="1" customWidth="1"/>
    <col min="34" max="34" width="12" hidden="1" customWidth="1"/>
    <col min="35" max="35" width="14.85546875" hidden="1" customWidth="1"/>
    <col min="36" max="50" width="9.140625" hidden="1" customWidth="1"/>
    <col min="51" max="51" width="54.28515625" hidden="1" customWidth="1"/>
    <col min="52" max="64" width="9.140625" hidden="1" customWidth="1"/>
    <col min="65" max="65" width="20.42578125" customWidth="1"/>
    <col min="66" max="66" width="9.140625" customWidth="1"/>
  </cols>
  <sheetData>
    <row r="1" spans="1:63" ht="24" thickBot="1" x14ac:dyDescent="0.4">
      <c r="A1" s="257"/>
      <c r="AA1" s="31"/>
      <c r="AD1" s="343" t="s">
        <v>611</v>
      </c>
      <c r="AE1" s="343"/>
      <c r="AF1" s="343"/>
      <c r="AI1" s="1"/>
      <c r="AK1" s="346"/>
      <c r="AL1" s="210"/>
      <c r="AM1" s="210"/>
      <c r="AO1" s="27"/>
      <c r="AZ1" s="1"/>
      <c r="BA1" s="1"/>
      <c r="BB1" s="1"/>
      <c r="BC1" s="1"/>
    </row>
    <row r="2" spans="1:63" ht="13.5" x14ac:dyDescent="0.25">
      <c r="A2" s="257"/>
      <c r="C2" s="34"/>
      <c r="D2" s="35"/>
      <c r="E2" s="35"/>
      <c r="F2" s="35"/>
      <c r="G2" s="35"/>
      <c r="H2" s="35"/>
      <c r="I2" s="35"/>
      <c r="J2" s="35"/>
      <c r="K2" s="35"/>
      <c r="L2" s="35"/>
      <c r="M2" s="35"/>
      <c r="N2" s="35"/>
      <c r="O2" s="35"/>
      <c r="P2" s="35"/>
      <c r="Q2" s="35"/>
      <c r="R2" s="35"/>
      <c r="S2" s="35"/>
      <c r="T2" s="35"/>
      <c r="U2" s="35"/>
      <c r="V2" s="35"/>
      <c r="W2" s="35"/>
      <c r="X2" s="35"/>
      <c r="Y2" s="35"/>
      <c r="Z2" s="35"/>
      <c r="AA2" s="397"/>
      <c r="AB2" s="36"/>
      <c r="AD2" s="421" t="s">
        <v>813</v>
      </c>
      <c r="AE2" s="422"/>
      <c r="AF2" s="422"/>
      <c r="AG2" s="422"/>
      <c r="AI2" s="1"/>
      <c r="AK2" s="346"/>
      <c r="AL2" s="210"/>
      <c r="AM2" s="210"/>
      <c r="AO2" s="27"/>
      <c r="AZ2" s="1"/>
      <c r="BA2" s="1"/>
      <c r="BB2" s="1"/>
      <c r="BC2" s="1"/>
    </row>
    <row r="3" spans="1:63" ht="16.5" thickBot="1" x14ac:dyDescent="0.3">
      <c r="A3" s="257"/>
      <c r="C3" s="8"/>
      <c r="D3" s="9"/>
      <c r="E3" s="9"/>
      <c r="F3" s="9"/>
      <c r="G3" s="9"/>
      <c r="H3" s="9"/>
      <c r="I3" s="9"/>
      <c r="J3" s="477" t="str">
        <f>Entrants!I3</f>
        <v xml:space="preserve">FORTY-FIRST NATIONAL SCOUT RIFLE CHAMPIONSHIPS </v>
      </c>
      <c r="K3" s="477"/>
      <c r="L3" s="477"/>
      <c r="M3" s="477"/>
      <c r="N3" s="477"/>
      <c r="O3" s="477"/>
      <c r="P3" s="477"/>
      <c r="Q3" s="477"/>
      <c r="R3" s="9"/>
      <c r="S3" s="9"/>
      <c r="T3" s="9"/>
      <c r="U3" s="9"/>
      <c r="V3" s="9"/>
      <c r="W3" s="9"/>
      <c r="X3" s="9"/>
      <c r="Y3" s="9"/>
      <c r="Z3" s="9"/>
      <c r="AA3" s="397"/>
      <c r="AB3" s="37"/>
      <c r="AD3" s="390" t="s">
        <v>692</v>
      </c>
      <c r="AE3" s="281"/>
      <c r="AF3" s="281"/>
      <c r="AG3" s="281"/>
      <c r="AH3" s="281"/>
      <c r="AI3" s="281"/>
      <c r="AJ3" s="281"/>
      <c r="AK3" s="281"/>
      <c r="AL3" s="210"/>
      <c r="AM3" s="210"/>
      <c r="AO3" s="27"/>
      <c r="AZ3" s="1"/>
      <c r="BA3" s="1"/>
      <c r="BB3" s="1"/>
      <c r="BC3" s="1"/>
    </row>
    <row r="4" spans="1:63" ht="16.5" thickBot="1" x14ac:dyDescent="0.3">
      <c r="A4" s="257"/>
      <c r="C4" s="8"/>
      <c r="D4" s="9"/>
      <c r="E4" s="9"/>
      <c r="F4" s="9"/>
      <c r="G4" s="9"/>
      <c r="H4" s="9"/>
      <c r="I4" s="9"/>
      <c r="J4" s="477" t="str">
        <f>Entrants!I4</f>
        <v>BISLEY, 20th  – 22nd October 2017</v>
      </c>
      <c r="K4" s="477"/>
      <c r="L4" s="477"/>
      <c r="M4" s="477"/>
      <c r="N4" s="477"/>
      <c r="O4" s="477"/>
      <c r="P4" s="477"/>
      <c r="Q4" s="477"/>
      <c r="R4" s="9"/>
      <c r="S4" s="9"/>
      <c r="T4" s="9"/>
      <c r="U4" s="9"/>
      <c r="V4" s="9"/>
      <c r="W4" s="9"/>
      <c r="X4" s="9"/>
      <c r="Y4" s="9"/>
      <c r="Z4" s="9"/>
      <c r="AA4" s="397"/>
      <c r="AB4" s="37"/>
      <c r="AH4" s="111" t="s">
        <v>282</v>
      </c>
      <c r="AI4" s="345">
        <f>AI5</f>
        <v>43029</v>
      </c>
      <c r="AJ4" s="340" t="s">
        <v>610</v>
      </c>
      <c r="AK4" s="348"/>
      <c r="AL4" s="210"/>
      <c r="AM4" s="210"/>
      <c r="AO4" s="27"/>
      <c r="AZ4" s="1"/>
      <c r="BA4" s="1"/>
      <c r="BB4" s="1"/>
      <c r="BC4" s="1"/>
    </row>
    <row r="5" spans="1:63" ht="14.25" thickBot="1" x14ac:dyDescent="0.3">
      <c r="A5" s="257"/>
      <c r="C5" s="38"/>
      <c r="D5" s="9"/>
      <c r="E5" s="9"/>
      <c r="F5" s="9"/>
      <c r="G5" s="9"/>
      <c r="H5" s="9"/>
      <c r="I5" s="9"/>
      <c r="J5" s="9"/>
      <c r="K5" s="9"/>
      <c r="L5" s="9"/>
      <c r="N5" s="9"/>
      <c r="O5" s="9"/>
      <c r="P5" s="9"/>
      <c r="Q5" s="9"/>
      <c r="R5" s="9"/>
      <c r="S5" s="9"/>
      <c r="T5" s="9"/>
      <c r="U5" s="9"/>
      <c r="V5" s="9"/>
      <c r="W5" s="9"/>
      <c r="X5" s="9"/>
      <c r="Y5" s="9"/>
      <c r="Z5" s="9"/>
      <c r="AA5" s="397"/>
      <c r="AB5" s="37"/>
      <c r="AH5" s="112" t="s">
        <v>282</v>
      </c>
      <c r="AI5" s="420">
        <f>Q_Date</f>
        <v>43029</v>
      </c>
      <c r="AJ5" s="43"/>
      <c r="AK5" s="33"/>
      <c r="AL5" s="210"/>
      <c r="AM5" s="210"/>
      <c r="AN5" s="82" t="s">
        <v>452</v>
      </c>
      <c r="AO5" s="27"/>
      <c r="AZ5" s="1"/>
      <c r="BA5" s="1"/>
      <c r="BB5" s="1"/>
      <c r="BC5" s="1"/>
    </row>
    <row r="6" spans="1:63" ht="15.75" x14ac:dyDescent="0.25">
      <c r="A6" s="257"/>
      <c r="C6" s="39"/>
      <c r="D6" s="9"/>
      <c r="E6" s="9"/>
      <c r="F6" s="9"/>
      <c r="G6" s="9"/>
      <c r="H6" s="9"/>
      <c r="I6" s="9"/>
      <c r="J6" s="476" t="s">
        <v>810</v>
      </c>
      <c r="K6" s="476"/>
      <c r="L6" s="476"/>
      <c r="M6" s="476"/>
      <c r="N6" s="476"/>
      <c r="O6" s="476"/>
      <c r="P6" s="476"/>
      <c r="Q6" s="476"/>
      <c r="R6" s="9"/>
      <c r="S6" s="9"/>
      <c r="T6" s="9"/>
      <c r="U6" s="9"/>
      <c r="V6" s="9"/>
      <c r="W6" s="9"/>
      <c r="X6" s="9"/>
      <c r="Y6" s="9"/>
      <c r="Z6" s="9"/>
      <c r="AA6" s="397"/>
      <c r="AB6" s="37"/>
      <c r="AH6" s="26">
        <f>EDATE(Q_Date,-120)</f>
        <v>39376</v>
      </c>
      <c r="AI6" s="280">
        <f>AH6</f>
        <v>39376</v>
      </c>
      <c r="AJ6" s="271" t="s">
        <v>524</v>
      </c>
      <c r="AK6" s="349"/>
      <c r="AL6" s="210"/>
      <c r="AM6" s="210"/>
      <c r="AN6" s="210">
        <f>Q_Date-AI6</f>
        <v>3653</v>
      </c>
      <c r="AO6" s="27"/>
      <c r="AZ6" s="1"/>
      <c r="BA6" s="1"/>
      <c r="BB6" s="1"/>
      <c r="BC6" s="1"/>
    </row>
    <row r="7" spans="1:63" ht="13.5" x14ac:dyDescent="0.25">
      <c r="A7" s="257"/>
      <c r="C7" s="8"/>
      <c r="D7" s="9"/>
      <c r="E7" s="9"/>
      <c r="F7" s="9"/>
      <c r="G7" s="9"/>
      <c r="H7" s="9"/>
      <c r="I7" s="9"/>
      <c r="J7" s="9"/>
      <c r="K7" s="9"/>
      <c r="L7" s="9"/>
      <c r="N7" s="9"/>
      <c r="O7" s="9"/>
      <c r="P7" s="9"/>
      <c r="Q7" s="9"/>
      <c r="R7" s="9"/>
      <c r="S7" s="433" t="s">
        <v>827</v>
      </c>
      <c r="T7" s="402"/>
      <c r="U7" s="434" t="s">
        <v>828</v>
      </c>
      <c r="V7" s="402"/>
      <c r="W7" s="435" t="s">
        <v>829</v>
      </c>
      <c r="X7" s="9"/>
      <c r="Y7" s="9"/>
      <c r="Z7" s="9"/>
      <c r="AA7" s="397"/>
      <c r="AB7" s="37"/>
      <c r="AD7" s="26"/>
      <c r="AE7" s="26"/>
      <c r="AF7" s="26"/>
      <c r="AG7" s="26"/>
      <c r="AH7" s="26">
        <f>EDATE($AI5,-144)+1</f>
        <v>38647</v>
      </c>
      <c r="AI7" s="280">
        <f>AH7</f>
        <v>38647</v>
      </c>
      <c r="AJ7" s="81" t="s">
        <v>450</v>
      </c>
      <c r="AK7" s="350"/>
      <c r="AL7" s="210"/>
      <c r="AM7" s="210"/>
      <c r="AN7" s="210">
        <f>Q_Date-AI7</f>
        <v>4382</v>
      </c>
      <c r="AO7" s="27"/>
      <c r="AZ7" s="1"/>
      <c r="BA7" s="1"/>
      <c r="BB7" s="1"/>
      <c r="BC7" s="1"/>
    </row>
    <row r="8" spans="1:63" ht="15.75" x14ac:dyDescent="0.25">
      <c r="A8" s="257"/>
      <c r="C8" s="38"/>
      <c r="D8" s="9"/>
      <c r="E8" s="478" t="s">
        <v>838</v>
      </c>
      <c r="F8" s="478"/>
      <c r="G8" s="478"/>
      <c r="H8" s="478"/>
      <c r="I8" s="478"/>
      <c r="J8" s="478"/>
      <c r="K8" s="478"/>
      <c r="L8" s="478"/>
      <c r="M8" s="478"/>
      <c r="N8" s="478"/>
      <c r="O8" s="478"/>
      <c r="P8" s="478"/>
      <c r="Q8" s="478"/>
      <c r="R8" s="478"/>
      <c r="S8" s="478"/>
      <c r="T8" s="478"/>
      <c r="U8" s="478"/>
      <c r="V8" s="478"/>
      <c r="W8" s="400"/>
      <c r="X8" s="9"/>
      <c r="Y8" s="9"/>
      <c r="Z8" s="9"/>
      <c r="AA8" s="397"/>
      <c r="AB8" s="37"/>
      <c r="AC8" s="1"/>
      <c r="AH8" s="209">
        <f>EDATE($AH7,-24)</f>
        <v>37916</v>
      </c>
      <c r="AI8" s="280">
        <f>AH8</f>
        <v>37916</v>
      </c>
      <c r="AJ8" s="81" t="s">
        <v>451</v>
      </c>
      <c r="AK8" s="350"/>
      <c r="AL8" s="210"/>
      <c r="AM8" s="210"/>
      <c r="AN8" s="210">
        <f>Q_Date-AI8</f>
        <v>5113</v>
      </c>
      <c r="AO8" s="27"/>
      <c r="AZ8" s="1"/>
      <c r="BA8" s="1"/>
      <c r="BB8" s="1"/>
      <c r="BC8" s="1"/>
    </row>
    <row r="9" spans="1:63" ht="16.5" thickBot="1" x14ac:dyDescent="0.25">
      <c r="A9" s="257"/>
      <c r="C9" s="39"/>
      <c r="D9" s="9"/>
      <c r="E9" s="9"/>
      <c r="F9" s="9"/>
      <c r="G9" s="9"/>
      <c r="H9" s="9"/>
      <c r="I9" s="9"/>
      <c r="J9" s="9"/>
      <c r="K9" s="9"/>
      <c r="L9" s="9"/>
      <c r="M9" s="9"/>
      <c r="N9" s="9"/>
      <c r="O9" s="9"/>
      <c r="P9" s="9"/>
      <c r="Q9" s="9"/>
      <c r="R9" s="9"/>
      <c r="S9" s="9"/>
      <c r="T9" s="9"/>
      <c r="U9" s="9"/>
      <c r="V9" s="9"/>
      <c r="W9" s="9"/>
      <c r="X9" s="9"/>
      <c r="Y9" s="9"/>
      <c r="Z9" s="9"/>
      <c r="AA9" s="37" t="s">
        <v>281</v>
      </c>
      <c r="AB9" s="205" t="s">
        <v>807</v>
      </c>
      <c r="AE9" s="27"/>
      <c r="AP9" s="1"/>
      <c r="AQ9" s="1"/>
      <c r="AR9" s="1"/>
      <c r="AS9" s="1"/>
      <c r="BF9" s="1"/>
      <c r="BG9" s="1"/>
    </row>
    <row r="10" spans="1:63" ht="15.75" thickBot="1" x14ac:dyDescent="0.3">
      <c r="A10" s="257"/>
      <c r="C10" s="627" t="s">
        <v>322</v>
      </c>
      <c r="D10" s="628"/>
      <c r="E10" s="629" t="str">
        <f>IF(Entrants!D10=""," -",Entrants!D10)</f>
        <v xml:space="preserve"> -</v>
      </c>
      <c r="F10" s="630"/>
      <c r="G10" s="627" t="s">
        <v>321</v>
      </c>
      <c r="H10" s="483"/>
      <c r="I10" s="631" t="str">
        <f>IF(Entrants!H10=""," -",Entrants!H10)</f>
        <v xml:space="preserve"> -</v>
      </c>
      <c r="J10" s="632"/>
      <c r="K10" s="632"/>
      <c r="L10" s="632"/>
      <c r="M10" s="624" t="s">
        <v>812</v>
      </c>
      <c r="N10" s="484"/>
      <c r="O10" s="631" t="str">
        <f>IF(Entrants!N10=""," -",Entrants!N10)</f>
        <v xml:space="preserve"> -</v>
      </c>
      <c r="P10" s="632"/>
      <c r="Q10" s="632"/>
      <c r="R10" s="632"/>
      <c r="S10" s="632"/>
      <c r="T10" s="624" t="s">
        <v>355</v>
      </c>
      <c r="U10" s="483"/>
      <c r="V10" s="622" t="str">
        <f>IF(Entrants!U10=""," -",Entrants!U10)</f>
        <v xml:space="preserve"> -</v>
      </c>
      <c r="W10" s="622"/>
      <c r="X10" s="622"/>
      <c r="Y10" s="623"/>
      <c r="Z10" s="393"/>
      <c r="AA10" s="40" t="str">
        <f>IF(COUNTBLANK(C17:D43)=54,"",IF(E10="","Team Type Omitted",IF(AND(E10=5,COUNTBLANK(V10)=1),"County Name mitted",IF(E10&lt;4,(IF(OR(COUNTBLANK(I10)=1,COUNTBLANK(O10)=1,COUNTBLANK(V10)=1),"Team Name Omitted or incomplete","")),IF(E10=4,IF(OR(COUNTBLANK(O10)=1,COUNTBLANK(V10)=1),"Team Name Omitted or Incomplete",""),"")))))</f>
        <v/>
      </c>
      <c r="AB10" s="205" t="s">
        <v>806</v>
      </c>
      <c r="AD10" s="27"/>
      <c r="AO10" s="1"/>
      <c r="AP10" s="1"/>
      <c r="AQ10" s="1"/>
      <c r="AR10" s="1"/>
      <c r="BE10" s="1"/>
      <c r="BF10" s="1"/>
    </row>
    <row r="11" spans="1:63" ht="16.5" customHeight="1" x14ac:dyDescent="0.25">
      <c r="A11" s="257"/>
      <c r="C11" s="506"/>
      <c r="D11" s="507"/>
      <c r="E11" s="35"/>
      <c r="F11" s="35"/>
      <c r="G11" s="35"/>
      <c r="H11" s="35"/>
      <c r="I11" s="35"/>
      <c r="J11" s="35"/>
      <c r="K11" s="35"/>
      <c r="L11" s="35"/>
      <c r="M11" s="485" t="s">
        <v>8</v>
      </c>
      <c r="N11" s="486"/>
      <c r="O11" s="486"/>
      <c r="P11" s="486"/>
      <c r="Q11" s="486"/>
      <c r="R11" s="486"/>
      <c r="S11" s="486"/>
      <c r="T11" s="486"/>
      <c r="U11" s="486"/>
      <c r="V11" s="486"/>
      <c r="W11" s="486"/>
      <c r="X11" s="486"/>
      <c r="Y11" s="487"/>
      <c r="Z11" s="396"/>
      <c r="AA11" s="37"/>
      <c r="AB11" s="205" t="s">
        <v>34</v>
      </c>
      <c r="AD11" s="27"/>
      <c r="AO11" s="1"/>
      <c r="AP11" s="1"/>
      <c r="AQ11" s="1"/>
      <c r="AR11" s="1"/>
      <c r="BE11" s="1"/>
      <c r="BF11" s="1"/>
    </row>
    <row r="12" spans="1:63" ht="15" customHeight="1" x14ac:dyDescent="0.25">
      <c r="A12" s="257"/>
      <c r="C12" s="517" t="s">
        <v>1</v>
      </c>
      <c r="D12" s="518"/>
      <c r="E12" s="4"/>
      <c r="F12" s="22"/>
      <c r="G12" s="2"/>
      <c r="H12" s="2"/>
      <c r="I12" s="2"/>
      <c r="J12" s="4"/>
      <c r="K12" s="4"/>
      <c r="L12" s="4"/>
      <c r="M12" s="495" t="s">
        <v>9</v>
      </c>
      <c r="N12" s="496"/>
      <c r="O12" s="496"/>
      <c r="P12" s="496"/>
      <c r="Q12" s="496"/>
      <c r="R12" s="496"/>
      <c r="S12" s="496"/>
      <c r="T12" s="496"/>
      <c r="U12" s="497"/>
      <c r="V12" s="495" t="s">
        <v>10</v>
      </c>
      <c r="W12" s="496"/>
      <c r="X12" s="496"/>
      <c r="Y12" s="497"/>
      <c r="Z12" s="393"/>
      <c r="AA12" s="37"/>
      <c r="AB12" s="205" t="s">
        <v>35</v>
      </c>
      <c r="AD12" s="27"/>
      <c r="AO12" s="1"/>
      <c r="AP12" s="1"/>
      <c r="AQ12" s="1"/>
      <c r="AR12" s="1"/>
      <c r="BE12" s="1"/>
      <c r="BF12" s="1"/>
    </row>
    <row r="13" spans="1:63" ht="13.5" customHeight="1" x14ac:dyDescent="0.25">
      <c r="A13" s="257"/>
      <c r="C13" s="491" t="s">
        <v>686</v>
      </c>
      <c r="D13" s="512"/>
      <c r="E13" s="166"/>
      <c r="F13" s="22"/>
      <c r="G13" s="161" t="s">
        <v>399</v>
      </c>
      <c r="H13" s="2"/>
      <c r="I13" s="2"/>
      <c r="J13" s="4"/>
      <c r="K13" s="621" t="s">
        <v>811</v>
      </c>
      <c r="L13" s="161" t="s">
        <v>420</v>
      </c>
      <c r="M13" s="474" t="s">
        <v>1403</v>
      </c>
      <c r="N13" s="474" t="s">
        <v>1405</v>
      </c>
      <c r="O13" s="474" t="s">
        <v>389</v>
      </c>
      <c r="P13" s="491" t="s">
        <v>14</v>
      </c>
      <c r="Q13" s="493"/>
      <c r="R13" s="475" t="s">
        <v>434</v>
      </c>
      <c r="S13" s="491" t="s">
        <v>17</v>
      </c>
      <c r="T13" s="492"/>
      <c r="U13" s="493"/>
      <c r="V13" s="500" t="s">
        <v>1399</v>
      </c>
      <c r="W13" s="501"/>
      <c r="X13" s="502" t="s">
        <v>19</v>
      </c>
      <c r="Y13" s="502" t="s">
        <v>21</v>
      </c>
      <c r="Z13" s="419"/>
      <c r="AA13" s="37"/>
      <c r="AB13" s="205"/>
      <c r="AD13" s="27"/>
      <c r="AO13" s="1"/>
      <c r="AP13" s="1"/>
      <c r="AQ13" s="1"/>
      <c r="AR13" s="1"/>
      <c r="BE13" s="1"/>
      <c r="BF13" s="1"/>
    </row>
    <row r="14" spans="1:63" ht="27" customHeight="1" x14ac:dyDescent="0.25">
      <c r="A14" s="257"/>
      <c r="C14" s="504" t="s">
        <v>687</v>
      </c>
      <c r="D14" s="505"/>
      <c r="E14" s="4"/>
      <c r="F14" s="4"/>
      <c r="G14" s="161" t="s">
        <v>419</v>
      </c>
      <c r="H14" s="161" t="s">
        <v>417</v>
      </c>
      <c r="I14" s="161"/>
      <c r="J14" s="4"/>
      <c r="K14" s="621"/>
      <c r="L14" s="161" t="s">
        <v>421</v>
      </c>
      <c r="M14" s="473" t="s">
        <v>1402</v>
      </c>
      <c r="N14" s="473" t="s">
        <v>1404</v>
      </c>
      <c r="O14" s="473" t="s">
        <v>1406</v>
      </c>
      <c r="P14" s="494" t="s">
        <v>15</v>
      </c>
      <c r="Q14" s="493"/>
      <c r="R14" s="6"/>
      <c r="S14" s="494" t="s">
        <v>18</v>
      </c>
      <c r="T14" s="492"/>
      <c r="U14" s="493"/>
      <c r="V14" s="500"/>
      <c r="W14" s="501"/>
      <c r="X14" s="503"/>
      <c r="Y14" s="503"/>
      <c r="Z14" s="419"/>
      <c r="AA14" s="397"/>
      <c r="AB14" s="215" t="s">
        <v>240</v>
      </c>
      <c r="AD14" s="27"/>
      <c r="AO14" s="1"/>
      <c r="AP14" s="1"/>
      <c r="AQ14" s="1"/>
      <c r="AR14" s="1"/>
      <c r="BE14" s="1"/>
      <c r="BF14" s="1"/>
    </row>
    <row r="15" spans="1:63" ht="85.5" customHeight="1" x14ac:dyDescent="0.25">
      <c r="A15" s="258"/>
      <c r="C15" s="160" t="s">
        <v>22</v>
      </c>
      <c r="D15" s="161" t="s">
        <v>23</v>
      </c>
      <c r="E15" s="161" t="s">
        <v>2</v>
      </c>
      <c r="F15" s="161" t="s">
        <v>3</v>
      </c>
      <c r="G15" s="161" t="s">
        <v>416</v>
      </c>
      <c r="H15" s="161" t="s">
        <v>418</v>
      </c>
      <c r="I15" s="161" t="s">
        <v>805</v>
      </c>
      <c r="J15" s="161" t="s">
        <v>4</v>
      </c>
      <c r="K15" s="621"/>
      <c r="L15" s="161" t="s">
        <v>422</v>
      </c>
      <c r="M15" s="10" t="s">
        <v>1400</v>
      </c>
      <c r="N15" s="395"/>
      <c r="O15" s="10" t="s">
        <v>1401</v>
      </c>
      <c r="P15" s="10" t="s">
        <v>24</v>
      </c>
      <c r="Q15" s="10" t="s">
        <v>25</v>
      </c>
      <c r="R15" s="10" t="s">
        <v>1407</v>
      </c>
      <c r="S15" s="162" t="s">
        <v>324</v>
      </c>
      <c r="T15" s="163" t="s">
        <v>325</v>
      </c>
      <c r="U15" s="164" t="s">
        <v>31</v>
      </c>
      <c r="V15" s="165" t="s">
        <v>844</v>
      </c>
      <c r="W15" s="165" t="s">
        <v>845</v>
      </c>
      <c r="X15" s="165" t="s">
        <v>415</v>
      </c>
      <c r="Y15" s="450" t="str">
        <f>CONCATENATE("Class (One class only may be entered) £",'Cost Calc'!AD8," (B)")</f>
        <v>Class (One class only may be entered) £9.5 (B)</v>
      </c>
      <c r="Z15" s="397"/>
      <c r="AA15" s="398"/>
      <c r="AB15" s="205" t="s">
        <v>241</v>
      </c>
      <c r="AC15" s="395"/>
      <c r="AD15" s="28"/>
      <c r="AE15" s="212"/>
      <c r="AF15" s="213" t="s">
        <v>682</v>
      </c>
      <c r="AG15" s="12" t="s">
        <v>684</v>
      </c>
      <c r="AH15" s="12" t="s">
        <v>683</v>
      </c>
      <c r="AI15" s="213" t="s">
        <v>327</v>
      </c>
      <c r="AJ15" s="12" t="s">
        <v>685</v>
      </c>
      <c r="AK15" s="12" t="s">
        <v>683</v>
      </c>
      <c r="AL15" s="395"/>
      <c r="AM15" s="395"/>
      <c r="AN15" s="395"/>
      <c r="AO15" s="395"/>
      <c r="AP15" s="395"/>
      <c r="AQ15" s="395"/>
      <c r="AR15" s="395"/>
      <c r="AS15" s="395"/>
      <c r="AT15" s="395"/>
      <c r="AU15" s="395"/>
      <c r="AV15" s="395"/>
      <c r="AW15" s="395"/>
      <c r="AX15" s="395"/>
      <c r="AY15" s="395"/>
      <c r="AZ15" s="395"/>
      <c r="BA15" s="395"/>
      <c r="BB15" s="395"/>
      <c r="BC15" s="395"/>
      <c r="BD15" s="395"/>
      <c r="BE15" s="1"/>
      <c r="BF15" s="1"/>
      <c r="BG15" s="395"/>
      <c r="BH15" s="395"/>
      <c r="BI15" s="395"/>
      <c r="BJ15" s="395"/>
      <c r="BK15" s="395"/>
    </row>
    <row r="16" spans="1:63" ht="14.25" thickBot="1" x14ac:dyDescent="0.3">
      <c r="A16" s="257"/>
      <c r="C16" s="18"/>
      <c r="D16" s="19"/>
      <c r="E16" s="19"/>
      <c r="F16" s="19"/>
      <c r="G16" s="19"/>
      <c r="H16" s="19"/>
      <c r="I16" s="19"/>
      <c r="J16" s="19"/>
      <c r="K16" s="19"/>
      <c r="L16" s="362"/>
      <c r="M16" s="273">
        <f>'Cost Calc'!O8</f>
        <v>4</v>
      </c>
      <c r="N16" s="273">
        <f>'Cost Calc'!P8</f>
        <v>4</v>
      </c>
      <c r="O16" s="273">
        <f>'Cost Calc'!Q8</f>
        <v>4</v>
      </c>
      <c r="P16" s="273">
        <f>'Cost Calc'!R8</f>
        <v>6.5</v>
      </c>
      <c r="Q16" s="273">
        <f>'Cost Calc'!S8</f>
        <v>6.5</v>
      </c>
      <c r="R16" s="273">
        <f>'Cost Calc'!T8</f>
        <v>4</v>
      </c>
      <c r="S16" s="488">
        <f>'Cost Calc'!U8</f>
        <v>10</v>
      </c>
      <c r="T16" s="489"/>
      <c r="U16" s="490"/>
      <c r="V16" s="488">
        <f>'Cost Calc'!X8</f>
        <v>4</v>
      </c>
      <c r="W16" s="490"/>
      <c r="X16" s="273">
        <f>'Cost Calc'!Z8</f>
        <v>16.5</v>
      </c>
      <c r="Y16" s="10" t="str">
        <f>CONCATENATE("or £",'Cost Calc'!AB8," (A&amp;X)")</f>
        <v>or £9.5 (A&amp;X)</v>
      </c>
      <c r="Z16" s="10" t="s">
        <v>826</v>
      </c>
      <c r="AA16" s="10"/>
      <c r="AB16" s="205" t="s">
        <v>242</v>
      </c>
      <c r="AC16" s="219" t="s">
        <v>457</v>
      </c>
      <c r="AD16" s="220" t="s">
        <v>456</v>
      </c>
      <c r="AE16" s="221" t="s">
        <v>270</v>
      </c>
      <c r="AF16" s="222" t="s">
        <v>328</v>
      </c>
      <c r="AG16" s="223"/>
      <c r="AH16" s="223"/>
      <c r="AI16" s="222" t="s">
        <v>328</v>
      </c>
      <c r="AJ16" s="223"/>
      <c r="AK16" s="223"/>
      <c r="AL16" s="224" t="s">
        <v>271</v>
      </c>
      <c r="AM16" s="224" t="s">
        <v>272</v>
      </c>
      <c r="AN16" s="268" t="s">
        <v>583</v>
      </c>
      <c r="AO16" s="275" t="s">
        <v>580</v>
      </c>
      <c r="AP16" s="275" t="s">
        <v>575</v>
      </c>
      <c r="AQ16" s="275" t="s">
        <v>576</v>
      </c>
      <c r="AR16" s="275" t="s">
        <v>577</v>
      </c>
      <c r="AS16" s="268" t="s">
        <v>578</v>
      </c>
      <c r="AT16" s="268" t="s">
        <v>581</v>
      </c>
      <c r="AU16" s="268" t="s">
        <v>582</v>
      </c>
      <c r="AV16" s="225" t="s">
        <v>326</v>
      </c>
      <c r="AW16" s="225" t="s">
        <v>449</v>
      </c>
      <c r="AX16" s="224" t="s">
        <v>274</v>
      </c>
      <c r="AY16" s="225" t="s">
        <v>398</v>
      </c>
      <c r="AZ16" s="224" t="s">
        <v>275</v>
      </c>
      <c r="BA16" s="225" t="s">
        <v>455</v>
      </c>
      <c r="BB16" s="225" t="s">
        <v>454</v>
      </c>
      <c r="BC16" s="268" t="s">
        <v>470</v>
      </c>
      <c r="BD16" s="268" t="s">
        <v>521</v>
      </c>
      <c r="BE16" s="355" t="s">
        <v>273</v>
      </c>
      <c r="BF16" s="355" t="s">
        <v>276</v>
      </c>
      <c r="BG16" s="356" t="s">
        <v>277</v>
      </c>
      <c r="BH16" s="356" t="s">
        <v>307</v>
      </c>
      <c r="BI16" s="354"/>
      <c r="BJ16" s="358" t="s">
        <v>613</v>
      </c>
    </row>
    <row r="17" spans="1:62" ht="13.5" x14ac:dyDescent="0.25">
      <c r="A17" s="259">
        <v>17</v>
      </c>
      <c r="B17" s="411">
        <v>1</v>
      </c>
      <c r="C17" s="54"/>
      <c r="D17" s="55"/>
      <c r="E17" s="56"/>
      <c r="F17" s="102"/>
      <c r="G17" s="58"/>
      <c r="H17" s="272"/>
      <c r="I17" s="272"/>
      <c r="J17" s="57"/>
      <c r="K17" s="406"/>
      <c r="L17" s="57"/>
      <c r="M17" s="57"/>
      <c r="N17" s="57"/>
      <c r="O17" s="57"/>
      <c r="P17" s="57"/>
      <c r="Q17" s="57"/>
      <c r="R17" s="57"/>
      <c r="S17" s="453"/>
      <c r="T17" s="57"/>
      <c r="U17" s="454"/>
      <c r="V17" s="102"/>
      <c r="W17" s="102"/>
      <c r="X17" s="57"/>
      <c r="Y17" s="108"/>
      <c r="Z17" s="431">
        <f t="shared" ref="Z17:Z43" si="0">AB88</f>
        <v>0</v>
      </c>
      <c r="AA17" s="37" t="str">
        <f t="shared" ref="AA17:AA23" si="1">CONCATENATE(BI17,AD17,AL17,AN17,AO17,AP17,AQ17,AR17,AT17,AU17,AV17,AW17,AX17,AY17,AZ17,BG17,BH17,AM17,AS17,BC17)</f>
        <v/>
      </c>
      <c r="AB17" s="205" t="s">
        <v>243</v>
      </c>
      <c r="AC17" t="str">
        <f t="shared" ref="AC17:AC43" si="2">CHOOSE((1+COUNTBLANK(C17:D17)),AC$16,AD$16,"No Entrant")</f>
        <v>No Entrant</v>
      </c>
      <c r="AD17" s="27" t="str">
        <f t="shared" ref="AD17:AD36" si="3">IF(AC17=AD$16,CONCATENATE(AC17,"; "),"")</f>
        <v/>
      </c>
      <c r="AE17" s="211" t="str">
        <f t="shared" ref="AE17:AE41" si="4">IF(AC17&lt;&gt;"No Entrant",N58,"")</f>
        <v/>
      </c>
      <c r="AF17" s="211" t="str">
        <f t="shared" ref="AF17:AF43" si="5">IF(AND(AE17&gt;=18,COUNTBLANK(J17)=0),J17,"")</f>
        <v/>
      </c>
      <c r="AG17" s="211" t="str">
        <f t="shared" ref="AG17:AG24" si="6">CONCATENATE(AB17," ",COUNTIF(AF$17:AF$43,AB17))</f>
        <v>SA 0</v>
      </c>
      <c r="AH17" s="211" t="str">
        <f>IF(VALUE(MID(AG17,4,2))&gt;1,CONCATENATE(LEFT(AG17,3),"","has too many over 18s; "),"")</f>
        <v/>
      </c>
      <c r="AI17" s="211" t="str">
        <f t="shared" ref="AI17:AI43" si="7">IF(AND(AE17&gt;=25,COUNTBLANK(J17)=0),J17,"")</f>
        <v/>
      </c>
      <c r="AJ17" s="211" t="str">
        <f t="shared" ref="AJ17:AJ24" si="8">CONCATENATE(AB17," ",COUNTIF(AI$17:AI$43,AB17))</f>
        <v>SA 0</v>
      </c>
      <c r="AK17" s="211" t="str">
        <f>IF(VALUE(MID(AJ17,4,2))&gt;0,CONCATENATE(LEFT(AJ17,3),"","has a member aged 25+; "),"")</f>
        <v/>
      </c>
      <c r="AL17" t="str">
        <f t="shared" ref="AL17:AL43" si="9">IF(AND(COUNTBLANK(E17)=1,AC17&lt;&gt;"No Entrant",AE17&gt;17.999,COUNTBLANK(G17)=1),"Assumed adult without Member No; ",IF(AND(AC17&lt;&gt;"No Entrant",AE17&gt;17.999,COUNTBLANK(G17)=1),"Adult without Member No; ",""))</f>
        <v/>
      </c>
      <c r="AM17" t="str">
        <f>IF(OR(H17="",H17="N",H17="Y"),"",IF(VLOOKUP(H17,LastYrList!A:D,2,FALSE)="Did Not Shoot","!!",IF(OR(VLOOKUP(H17,LastYrList!A:D,2,FALSE)&lt;&gt;'Entrant Data'!E4,VLOOKUP(H17,LastYrList!A:D,3,FALSE)&lt;&gt;'Entrant Data'!F4),CONCATENATE("Last yr entrant ",H17," was ",VLOOKUP(H17,LastYrList!A:D,2,FALSE)," ",VLOOKUP(H17,LastYrList!A:D,3,FALSE)," of ",VLOOKUP(H17,LastYrList!A:D,4,FALSE),". Check spelling etc. &amp; Proceed only if same person!"),"")))</f>
        <v/>
      </c>
      <c r="AN17" t="str">
        <f>IF(ISERROR(FIND("!!",AM17)),"",AN$16)</f>
        <v/>
      </c>
      <c r="AO17" t="str">
        <f>IF(AND(AC17&lt;&gt;"No Entrant",AE17&lt;17,COUNTBLANK(K17)=0),"Too young to be RO","")</f>
        <v/>
      </c>
      <c r="AP17" t="str">
        <f>IF(OR(H17="y",H17="n",H17="",AM17&lt;&gt;""),"",IF(E17=VLOOKUP(H17,LastYrList!A:G,7,FALSE),"",IF(VLOOKUP(H17,LastYrList!A:G,7,FALSE)="","","Check Date of Birth (Inconsistent with last year); ")))</f>
        <v/>
      </c>
      <c r="AQ17" t="str">
        <f>IF(OR(H17="",(ISERR(VALUE(H17)))),"",IF(G17=VLOOKUP(H17,LastYrList!A:G,5,FALSE),"",IF(VLOOKUP(H17,LastYrList!A:G,5,FALSE)="","","Check Member &amp; Last year Comp No. (Inconsistency with last year); ")))</f>
        <v/>
      </c>
      <c r="AR17" t="str">
        <f>IF(OR(H17="",H17="y",H17="n"),"",IF(F17=VLOOKUP(H17,LastYrList!A:G,6,FALSE),"","Check Gender (Inconsistent with last year); "))</f>
        <v/>
      </c>
      <c r="AS17" t="str">
        <f t="shared" ref="AS17:AS43" si="10">IF(AND(AC17&lt;&gt;"No Entrant",AE17&lt;18,COUNTBLANK(K17)=0,COUNTBLANK(AO17)=1),"Warning - Young RO. Check!","")</f>
        <v/>
      </c>
      <c r="AT17" t="str">
        <f t="shared" ref="AT17:AT43" si="11">IF(AND($AC17&lt;&gt;"No Entrant",$AE17&lt;18,COUNTBLANK(L17)=0,COUNTBLANK($K17)=1),"Must be a Main Event entrant","")</f>
        <v/>
      </c>
      <c r="AU17" t="str">
        <f t="shared" ref="AU17:AU43" si="12">IF(AND(COUNTBLANK(C17:D17)&gt;0,COUNTBLANK(F17:Y17)&lt;19),"Data without entrant Name; ","")</f>
        <v/>
      </c>
      <c r="AV17" t="str">
        <f t="shared" ref="AV17:AV43" si="13">IF(AND(COUNTBLANK(S17)=1,COUNTBLANK(T17:U17)&lt;2),AV$16,"")</f>
        <v/>
      </c>
      <c r="AW17" t="str">
        <f t="shared" ref="AW17:AW43" si="14">IF(AND(COUNTBLANK(J17)=0,L17="N"),AW$16,"")</f>
        <v/>
      </c>
      <c r="AX17" t="str">
        <f t="shared" ref="AX17:AX43" si="15">IF(AND($AC17&lt;&gt;"No Entrant",(Q_Date-E17&lt;5112),COUNTBLANK(X17)=0),"Too Young for Fullbore; ","")</f>
        <v/>
      </c>
      <c r="AY17" t="str">
        <f>IF(AND(COUNTBLANK(K17)=1,L17="N",COUNTBLANK(M17:S17)+COUNTBLANK(V17:Y17)=11),AY$16,"")</f>
        <v/>
      </c>
      <c r="AZ17" t="str">
        <f t="shared" ref="AZ17:AZ43" si="16">IF(AND($AC17&lt;&gt;"No Entrant",(Q_Date-$E17&lt;4382),COUNTBLANK($Y17)=0),"Too Young for Small-bore; ","")</f>
        <v/>
      </c>
      <c r="BA17" t="str">
        <f t="shared" ref="BA17:BA43" si="17">IF(AND($AC17&lt;&gt;"No Entrant",(Q_Date-$E17=AN$7),COUNTBLANK($Y17)=0),BA$16,"")</f>
        <v/>
      </c>
      <c r="BB17" t="str">
        <f t="shared" ref="BB17:BB43" si="18">IF(AND($AC17&lt;&gt;"No Entrant",(Q_Date-$E17=AN$8),COUNTBLANK($X17)=0),BB$16,"")</f>
        <v/>
      </c>
      <c r="BC17" t="str">
        <f t="shared" ref="BC17:BC43" si="19">IF(AND(L17&lt;&gt;"N",(2*(1-COUNTBLANK(R17))+1-COUNTBLANK(W17)+2*(1-COUNTBLANK(X17))+1-COUNTBLANK(Y17)&gt;3)),"Too many Daylight-only Extra events",IF(2*(1-COUNTBLANK(R17))+1-COUNTBLANK(W17)+2*(1-COUNTBLANK(X17))+1-COUNTBLANK(Y17)&gt;5,"Too many Daylight-only Extra events",""))</f>
        <v/>
      </c>
      <c r="BE17" s="347" t="str">
        <f t="shared" ref="BE17:BE43" si="20">IF(AC17="No Entrant","",IF(COUNTBLANK(K17)=1,5,IF(OR(L17="X",L17="x"),2,IF(OR(L17="N",L17="n"),5,1))))</f>
        <v/>
      </c>
      <c r="BF17" s="347">
        <f t="shared" ref="BF17:BF43" si="21">(5-COUNTBLANK(M17:Q17))+(2*(1-COUNTBLANK(R17)))+(2*(1-COUNTBLANK(S17)))+(1-COUNTBLANK(W17))+(2*(1-COUNTBLANK(X17)))+(1-COUNTBLANK(Y17))</f>
        <v>0</v>
      </c>
      <c r="BG17" s="346" t="str">
        <f>IF(BF17&gt;BE17,"Too Many Extra Events","")</f>
        <v/>
      </c>
      <c r="BH17" s="346" t="str">
        <f t="shared" ref="BH17:BH43" si="22">IF(AND($AC17&lt;&gt;"No Entrant",(Q_Date-E17&gt;5112),LEFT(J17,1)="J"),"Too Old for Junior Connaught","")</f>
        <v/>
      </c>
      <c r="BI17" s="206" t="str">
        <f>IF(ISNA(VLOOKUP(CONCATENATE('Entrant Data'!E4," ",'Entrant Data'!F4),LastYrList!$H:$J,2,FALSE)),"",IF(AND(OR(T(H17)&lt;&gt;"",H17=0),E17=VLOOKUP(CONCATENATE('Entrant Data'!E4," ",'Entrant Data'!F4),LastYrList!$H:$J,3,FALSE)),CONCATENATE('Entrant Data'!E4," ",'Entrant Data'!F4," was No. ",(VLOOKUP(CONCATENATE('Entrant Data'!E4," ",'Entrant Data'!F4),LastYrList!$H:$J,2,FALSE))," last year. "),""))</f>
        <v/>
      </c>
      <c r="BJ17" s="186" t="str">
        <f t="shared" ref="BJ17:BJ43" si="23">CONCATENATE(AM17,AS17,BA17,BB17)</f>
        <v/>
      </c>
    </row>
    <row r="18" spans="1:62" ht="13.5" x14ac:dyDescent="0.25">
      <c r="A18" s="259">
        <v>18</v>
      </c>
      <c r="B18" s="411">
        <v>2</v>
      </c>
      <c r="C18" s="60"/>
      <c r="D18" s="61"/>
      <c r="E18" s="62"/>
      <c r="F18" s="103"/>
      <c r="G18" s="63"/>
      <c r="H18" s="105"/>
      <c r="I18" s="105"/>
      <c r="J18" s="105"/>
      <c r="K18" s="407"/>
      <c r="L18" s="59"/>
      <c r="M18" s="59"/>
      <c r="N18" s="59"/>
      <c r="O18" s="59"/>
      <c r="P18" s="59"/>
      <c r="Q18" s="59"/>
      <c r="R18" s="59"/>
      <c r="S18" s="103"/>
      <c r="T18" s="59"/>
      <c r="U18" s="105"/>
      <c r="V18" s="405"/>
      <c r="W18" s="405"/>
      <c r="X18" s="59"/>
      <c r="Y18" s="109"/>
      <c r="Z18" s="431">
        <f t="shared" si="0"/>
        <v>0</v>
      </c>
      <c r="AA18" s="37" t="str">
        <f t="shared" si="1"/>
        <v/>
      </c>
      <c r="AB18" s="205" t="s">
        <v>250</v>
      </c>
      <c r="AC18" t="str">
        <f t="shared" si="2"/>
        <v>No Entrant</v>
      </c>
      <c r="AD18" s="27" t="str">
        <f t="shared" si="3"/>
        <v/>
      </c>
      <c r="AE18" s="211" t="str">
        <f t="shared" si="4"/>
        <v/>
      </c>
      <c r="AF18" s="211" t="str">
        <f t="shared" si="5"/>
        <v/>
      </c>
      <c r="AG18" s="211" t="str">
        <f t="shared" si="6"/>
        <v>SB 0</v>
      </c>
      <c r="AH18" s="211" t="str">
        <f t="shared" ref="AH18:AH24" si="24">IF(VALUE(MID(AG18,4,2))&gt;1,CONCATENATE(LEFT(AG18,3),"","has too many over 25s; "),"")</f>
        <v/>
      </c>
      <c r="AI18" s="211" t="str">
        <f t="shared" si="7"/>
        <v/>
      </c>
      <c r="AJ18" s="211" t="str">
        <f t="shared" si="8"/>
        <v>SB 0</v>
      </c>
      <c r="AK18" s="211" t="str">
        <f t="shared" ref="AK18:AK24" si="25">IF(VALUE(MID(AJ18,4,2))&gt;1,CONCATENATE(LEFT(AJ18,3),"","has too many over 18s; "),"")</f>
        <v/>
      </c>
      <c r="AL18" t="str">
        <f t="shared" si="9"/>
        <v/>
      </c>
      <c r="AM18" t="str">
        <f>IF(OR(H18="",H18="N",H18="Y"),"",IF(VLOOKUP(H18,LastYrList!A:D,2,FALSE)="Did Not Shoot","!!",IF(OR(VLOOKUP(H18,LastYrList!A:D,2,FALSE)&lt;&gt;'Entrant Data'!E5,VLOOKUP(H18,LastYrList!A:D,3,FALSE)&lt;&gt;'Entrant Data'!F5),CONCATENATE("Last yr entrant ",H18," was ",VLOOKUP(H18,LastYrList!A:D,2,FALSE)," ",VLOOKUP(H18,LastYrList!A:D,3,FALSE)," of ",VLOOKUP(H18,LastYrList!A:D,4,FALSE),". Check spelling etc. &amp; Proceed only if same person!"),"")))</f>
        <v/>
      </c>
      <c r="AN18" t="str">
        <f>IF(ISERROR(FIND("!!",AM18)),"",AN$16)</f>
        <v/>
      </c>
      <c r="AO18" t="str">
        <f t="shared" ref="AO18:AO43" si="26">IF(AND(AC18&lt;&gt;"No Entrant",AE18&lt;16,COUNTBLANK(K18)=0),"Too young to be RO","")</f>
        <v/>
      </c>
      <c r="AP18" t="str">
        <f>IF(OR(H18="y",H18="n",H18="",AM18&lt;&gt;""),"",IF(E18=VLOOKUP(H18,LastYrList!A:G,7,FALSE),"",IF(VLOOKUP(H18,LastYrList!A:G,7,FALSE)="","","Check Date of Birth (Inconsistent with last year); ")))</f>
        <v/>
      </c>
      <c r="AQ18" t="str">
        <f>IF(OR(H18="",(ISERR(VALUE(H18)))),"",IF(G18=VLOOKUP(H18,LastYrList!A:G,5,FALSE),"",IF(VLOOKUP(H18,LastYrList!A:G,5,FALSE)="","","Check Member &amp; Last year Comp No. (Inconsistency with last year); ")))</f>
        <v/>
      </c>
      <c r="AR18" t="str">
        <f>IF(OR(H18="",H18="y",H18="n"),"",IF(F18=VLOOKUP(H18,LastYrList!A:G,6,FALSE),"","Check Gender (Inconsistent with last year); "))</f>
        <v/>
      </c>
      <c r="AS18" t="str">
        <f t="shared" si="10"/>
        <v/>
      </c>
      <c r="AT18" t="str">
        <f t="shared" si="11"/>
        <v/>
      </c>
      <c r="AU18" t="str">
        <f t="shared" si="12"/>
        <v/>
      </c>
      <c r="AV18" t="str">
        <f t="shared" si="13"/>
        <v/>
      </c>
      <c r="AW18" t="str">
        <f t="shared" si="14"/>
        <v/>
      </c>
      <c r="AX18" t="str">
        <f t="shared" si="15"/>
        <v/>
      </c>
      <c r="AY18" t="str">
        <f t="shared" ref="AY18:AY43" si="27">IF(AND(COUNTBLANK(K18)=1,L18="N",COUNTBLANK(M18:S18)+COUNTBLANK(V18:Y18)=11),AY$16,"")</f>
        <v/>
      </c>
      <c r="AZ18" t="str">
        <f t="shared" si="16"/>
        <v/>
      </c>
      <c r="BA18" t="str">
        <f t="shared" si="17"/>
        <v/>
      </c>
      <c r="BB18" t="str">
        <f t="shared" si="18"/>
        <v/>
      </c>
      <c r="BC18" t="str">
        <f t="shared" si="19"/>
        <v/>
      </c>
      <c r="BE18" s="347" t="str">
        <f t="shared" si="20"/>
        <v/>
      </c>
      <c r="BF18" s="347">
        <f t="shared" si="21"/>
        <v>0</v>
      </c>
      <c r="BG18" s="346" t="str">
        <f t="shared" ref="BG18:BG43" si="28">IF(BF18&gt;BE18,"Too Many Extra Events","")</f>
        <v/>
      </c>
      <c r="BH18" s="346" t="str">
        <f t="shared" si="22"/>
        <v/>
      </c>
      <c r="BI18" s="206" t="str">
        <f>IF(ISNA(VLOOKUP(CONCATENATE('Entrant Data'!E5," ",'Entrant Data'!F5),LastYrList!$H:$J,2,FALSE)),"",IF(AND(OR(T(H18)&lt;&gt;"",H18=0),E18=VLOOKUP(CONCATENATE('Entrant Data'!E5," ",'Entrant Data'!F5),LastYrList!$H:$J,3,FALSE)),CONCATENATE('Entrant Data'!E5," ",'Entrant Data'!F5," was No. ",(VLOOKUP(CONCATENATE('Entrant Data'!E5," ",'Entrant Data'!F5),LastYrList!$H:$J,2,FALSE))," last year. "),""))</f>
        <v/>
      </c>
      <c r="BJ18" s="186" t="str">
        <f t="shared" si="23"/>
        <v/>
      </c>
    </row>
    <row r="19" spans="1:62" ht="13.5" x14ac:dyDescent="0.25">
      <c r="A19" s="259">
        <v>19</v>
      </c>
      <c r="B19" s="411">
        <v>3</v>
      </c>
      <c r="C19" s="60"/>
      <c r="D19" s="61"/>
      <c r="E19" s="62"/>
      <c r="F19" s="103"/>
      <c r="G19" s="63"/>
      <c r="H19" s="105"/>
      <c r="I19" s="105"/>
      <c r="J19" s="59"/>
      <c r="K19" s="407"/>
      <c r="L19" s="59"/>
      <c r="M19" s="59"/>
      <c r="N19" s="59"/>
      <c r="O19" s="59"/>
      <c r="P19" s="59"/>
      <c r="Q19" s="59"/>
      <c r="R19" s="59"/>
      <c r="S19" s="103"/>
      <c r="T19" s="59"/>
      <c r="U19" s="105"/>
      <c r="V19" s="405"/>
      <c r="W19" s="405"/>
      <c r="X19" s="59"/>
      <c r="Y19" s="109"/>
      <c r="Z19" s="431">
        <f t="shared" si="0"/>
        <v>0</v>
      </c>
      <c r="AA19" s="37" t="str">
        <f t="shared" si="1"/>
        <v/>
      </c>
      <c r="AB19" s="205" t="s">
        <v>251</v>
      </c>
      <c r="AC19" t="str">
        <f t="shared" si="2"/>
        <v>No Entrant</v>
      </c>
      <c r="AD19" s="27" t="str">
        <f t="shared" si="3"/>
        <v/>
      </c>
      <c r="AE19" s="211" t="str">
        <f t="shared" si="4"/>
        <v/>
      </c>
      <c r="AF19" s="211" t="str">
        <f t="shared" si="5"/>
        <v/>
      </c>
      <c r="AG19" s="211" t="str">
        <f t="shared" si="6"/>
        <v>SC 0</v>
      </c>
      <c r="AH19" s="211" t="str">
        <f t="shared" si="24"/>
        <v/>
      </c>
      <c r="AI19" s="211" t="str">
        <f t="shared" si="7"/>
        <v/>
      </c>
      <c r="AJ19" s="211" t="str">
        <f t="shared" si="8"/>
        <v>SC 0</v>
      </c>
      <c r="AK19" s="211" t="str">
        <f t="shared" si="25"/>
        <v/>
      </c>
      <c r="AL19" t="str">
        <f t="shared" si="9"/>
        <v/>
      </c>
      <c r="AM19" t="str">
        <f>IF(OR(H19="",H19="N",H19="Y"),"",IF(VLOOKUP(H19,LastYrList!A:D,2,FALSE)="Did Not Shoot","!!",IF(OR(VLOOKUP(H19,LastYrList!A:D,2,FALSE)&lt;&gt;'Entrant Data'!E6,VLOOKUP(H19,LastYrList!A:D,3,FALSE)&lt;&gt;'Entrant Data'!F6),CONCATENATE("Last yr entrant ",H19," was ",VLOOKUP(H19,LastYrList!A:D,2,FALSE)," ",VLOOKUP(H19,LastYrList!A:D,3,FALSE)," of ",VLOOKUP(H19,LastYrList!A:D,4,FALSE),". Check spelling etc. &amp; Proceed only if same person!"),"")))</f>
        <v/>
      </c>
      <c r="AN19" t="str">
        <f t="shared" ref="AN19:AN43" si="29">IF(ISERROR(FIND("!!",AM19)),"",AN$16)</f>
        <v/>
      </c>
      <c r="AO19" t="str">
        <f t="shared" si="26"/>
        <v/>
      </c>
      <c r="AP19" t="str">
        <f>IF(OR(H19="y",H19="n",H19="",AM19&lt;&gt;""),"",IF(E19=VLOOKUP(H19,LastYrList!A:G,7,FALSE),"",IF(VLOOKUP(H19,LastYrList!A:G,7,FALSE)="","","Check Date of Birth (Inconsistent with last year); ")))</f>
        <v/>
      </c>
      <c r="AQ19" t="str">
        <f>IF(OR(H19="",(ISERR(VALUE(H19)))),"",IF(G19=VLOOKUP(H19,LastYrList!A:G,5,FALSE),"",IF(VLOOKUP(H19,LastYrList!A:G,5,FALSE)="","","Check Member &amp; Last year Comp No. (Inconsistency with last year); ")))</f>
        <v/>
      </c>
      <c r="AR19" t="str">
        <f>IF(OR(H19="",H19="y",H19="n"),"",IF(F19=VLOOKUP(H19,LastYrList!A:G,6,FALSE),"","Check Gender (Inconsistent with last year); "))</f>
        <v/>
      </c>
      <c r="AS19" t="str">
        <f t="shared" si="10"/>
        <v/>
      </c>
      <c r="AT19" t="str">
        <f t="shared" si="11"/>
        <v/>
      </c>
      <c r="AU19" t="str">
        <f t="shared" si="12"/>
        <v/>
      </c>
      <c r="AV19" t="str">
        <f t="shared" si="13"/>
        <v/>
      </c>
      <c r="AW19" t="str">
        <f t="shared" si="14"/>
        <v/>
      </c>
      <c r="AX19" t="str">
        <f t="shared" si="15"/>
        <v/>
      </c>
      <c r="AY19" t="str">
        <f t="shared" si="27"/>
        <v/>
      </c>
      <c r="AZ19" t="str">
        <f t="shared" si="16"/>
        <v/>
      </c>
      <c r="BA19" t="str">
        <f t="shared" si="17"/>
        <v/>
      </c>
      <c r="BB19" t="str">
        <f t="shared" si="18"/>
        <v/>
      </c>
      <c r="BC19" t="str">
        <f t="shared" si="19"/>
        <v/>
      </c>
      <c r="BE19" s="347" t="str">
        <f t="shared" si="20"/>
        <v/>
      </c>
      <c r="BF19" s="347">
        <f t="shared" si="21"/>
        <v>0</v>
      </c>
      <c r="BG19" s="346" t="str">
        <f t="shared" si="28"/>
        <v/>
      </c>
      <c r="BH19" s="346" t="str">
        <f t="shared" si="22"/>
        <v/>
      </c>
      <c r="BI19" s="206" t="str">
        <f>IF(ISNA(VLOOKUP(CONCATENATE('Entrant Data'!E6," ",'Entrant Data'!F6),LastYrList!$H:$J,2,FALSE)),"",IF(AND(OR(T(H19)&lt;&gt;"",H19=0),E19=VLOOKUP(CONCATENATE('Entrant Data'!E6," ",'Entrant Data'!F6),LastYrList!$H:$J,3,FALSE)),CONCATENATE('Entrant Data'!E6," ",'Entrant Data'!F6," was No. ",(VLOOKUP(CONCATENATE('Entrant Data'!E6," ",'Entrant Data'!F6),LastYrList!$H:$J,2,FALSE))," last year. "),""))</f>
        <v/>
      </c>
      <c r="BJ19" s="186" t="str">
        <f>CONCATENATE(AM19,AS19,BA19,BB19)</f>
        <v/>
      </c>
    </row>
    <row r="20" spans="1:62" ht="13.5" x14ac:dyDescent="0.25">
      <c r="A20" s="259">
        <v>20</v>
      </c>
      <c r="B20" s="411">
        <v>4</v>
      </c>
      <c r="C20" s="60"/>
      <c r="D20" s="61"/>
      <c r="E20" s="62"/>
      <c r="F20" s="103"/>
      <c r="G20" s="63"/>
      <c r="H20" s="105"/>
      <c r="I20" s="105"/>
      <c r="J20" s="59"/>
      <c r="K20" s="407"/>
      <c r="L20" s="59"/>
      <c r="M20" s="59"/>
      <c r="N20" s="59"/>
      <c r="O20" s="59"/>
      <c r="P20" s="59"/>
      <c r="Q20" s="59"/>
      <c r="R20" s="59"/>
      <c r="S20" s="103"/>
      <c r="T20" s="59"/>
      <c r="U20" s="105"/>
      <c r="V20" s="405"/>
      <c r="W20" s="405"/>
      <c r="X20" s="59"/>
      <c r="Y20" s="109"/>
      <c r="Z20" s="431">
        <f t="shared" si="0"/>
        <v>0</v>
      </c>
      <c r="AA20" s="37" t="str">
        <f>CONCATENATE(BI20,AD20,AL20,AN20,AO20,AP20,AQ20,AR20,AT20,AU20,AV20,AW20,AX20,AY20,AZ20,BG20,BH20,AM20,AS20,BC20)</f>
        <v/>
      </c>
      <c r="AB20" s="205" t="s">
        <v>252</v>
      </c>
      <c r="AC20" t="str">
        <f t="shared" si="2"/>
        <v>No Entrant</v>
      </c>
      <c r="AD20" s="27" t="str">
        <f t="shared" si="3"/>
        <v/>
      </c>
      <c r="AE20" s="211" t="str">
        <f t="shared" si="4"/>
        <v/>
      </c>
      <c r="AF20" s="211" t="str">
        <f t="shared" si="5"/>
        <v/>
      </c>
      <c r="AG20" s="211" t="str">
        <f t="shared" si="6"/>
        <v>SD 0</v>
      </c>
      <c r="AH20" s="211" t="str">
        <f t="shared" si="24"/>
        <v/>
      </c>
      <c r="AI20" s="211" t="str">
        <f t="shared" si="7"/>
        <v/>
      </c>
      <c r="AJ20" s="211" t="str">
        <f t="shared" si="8"/>
        <v>SD 0</v>
      </c>
      <c r="AK20" s="211" t="str">
        <f t="shared" si="25"/>
        <v/>
      </c>
      <c r="AL20" t="str">
        <f t="shared" si="9"/>
        <v/>
      </c>
      <c r="AM20" t="str">
        <f>IF(OR(H20="",H20="N",H20="Y"),"",IF(VLOOKUP(H20,LastYrList!A:D,2,FALSE)="Did Not Shoot","!!",IF(OR(VLOOKUP(H20,LastYrList!A:D,2,FALSE)&lt;&gt;'Entrant Data'!E7,VLOOKUP(H20,LastYrList!A:D,3,FALSE)&lt;&gt;'Entrant Data'!F7),CONCATENATE("Last yr entrant ",H20," was ",VLOOKUP(H20,LastYrList!A:D,2,FALSE)," ",VLOOKUP(H20,LastYrList!A:D,3,FALSE)," of ",VLOOKUP(H20,LastYrList!A:D,4,FALSE),". Check spelling etc. &amp; Proceed only if same person!"),"")))</f>
        <v/>
      </c>
      <c r="AN20" t="str">
        <f t="shared" si="29"/>
        <v/>
      </c>
      <c r="AO20" t="str">
        <f t="shared" si="26"/>
        <v/>
      </c>
      <c r="AP20" t="str">
        <f>IF(OR(H20="y",H20="n",H20="",AM20&lt;&gt;""),"",IF(E20=VLOOKUP(H20,LastYrList!A:G,7,FALSE),"",IF(VLOOKUP(H20,LastYrList!A:G,7,FALSE)="","","Check Date of Birth (Inconsistent with last year); ")))</f>
        <v/>
      </c>
      <c r="AQ20" t="str">
        <f>IF(OR(H20="",(ISERR(VALUE(H20)))),"",IF(G20=VLOOKUP(H20,LastYrList!A:G,5,FALSE),"",IF(VLOOKUP(H20,LastYrList!A:G,5,FALSE)="","","Check Member &amp; Last year Comp No. (Inconsistency with last year); ")))</f>
        <v/>
      </c>
      <c r="AR20" t="str">
        <f>IF(OR(H20="",H20="y",H20="n"),"",IF(F20=VLOOKUP(H20,LastYrList!A:G,6,FALSE),"","Check Gender (Inconsistent with last year); "))</f>
        <v/>
      </c>
      <c r="AS20" t="str">
        <f t="shared" si="10"/>
        <v/>
      </c>
      <c r="AT20" t="str">
        <f t="shared" si="11"/>
        <v/>
      </c>
      <c r="AU20" t="str">
        <f t="shared" si="12"/>
        <v/>
      </c>
      <c r="AV20" t="str">
        <f t="shared" si="13"/>
        <v/>
      </c>
      <c r="AW20" t="str">
        <f t="shared" si="14"/>
        <v/>
      </c>
      <c r="AX20" t="str">
        <f t="shared" si="15"/>
        <v/>
      </c>
      <c r="AY20" t="str">
        <f t="shared" si="27"/>
        <v/>
      </c>
      <c r="AZ20" t="str">
        <f t="shared" si="16"/>
        <v/>
      </c>
      <c r="BA20" t="str">
        <f t="shared" si="17"/>
        <v/>
      </c>
      <c r="BB20" t="str">
        <f t="shared" si="18"/>
        <v/>
      </c>
      <c r="BC20" t="str">
        <f t="shared" si="19"/>
        <v/>
      </c>
      <c r="BE20" s="347" t="str">
        <f t="shared" si="20"/>
        <v/>
      </c>
      <c r="BF20" s="347">
        <f t="shared" si="21"/>
        <v>0</v>
      </c>
      <c r="BG20" s="346" t="str">
        <f t="shared" si="28"/>
        <v/>
      </c>
      <c r="BH20" s="346" t="str">
        <f t="shared" si="22"/>
        <v/>
      </c>
      <c r="BI20" s="206" t="str">
        <f>IF(ISNA(VLOOKUP(CONCATENATE('Entrant Data'!E7," ",'Entrant Data'!F7),LastYrList!$H:$J,2,FALSE)),"",IF(AND(OR(T(H20)&lt;&gt;"",H20=0),E20=VLOOKUP(CONCATENATE('Entrant Data'!E7," ",'Entrant Data'!F7),LastYrList!$H:$J,3,FALSE)),CONCATENATE('Entrant Data'!E7," ",'Entrant Data'!F7," was No. ",(VLOOKUP(CONCATENATE('Entrant Data'!E7," ",'Entrant Data'!F7),LastYrList!$H:$J,2,FALSE))," last year. "),""))</f>
        <v/>
      </c>
      <c r="BJ20" s="186" t="str">
        <f t="shared" si="23"/>
        <v/>
      </c>
    </row>
    <row r="21" spans="1:62" ht="13.5" x14ac:dyDescent="0.25">
      <c r="A21" s="259">
        <v>21</v>
      </c>
      <c r="B21" s="411">
        <v>5</v>
      </c>
      <c r="C21" s="60"/>
      <c r="D21" s="61"/>
      <c r="E21" s="62"/>
      <c r="F21" s="103"/>
      <c r="G21" s="63"/>
      <c r="H21" s="105"/>
      <c r="I21" s="105"/>
      <c r="J21" s="59"/>
      <c r="K21" s="407"/>
      <c r="L21" s="59"/>
      <c r="M21" s="59"/>
      <c r="N21" s="59"/>
      <c r="O21" s="59"/>
      <c r="P21" s="59"/>
      <c r="Q21" s="59"/>
      <c r="R21" s="59"/>
      <c r="S21" s="103"/>
      <c r="T21" s="59"/>
      <c r="U21" s="105"/>
      <c r="V21" s="405"/>
      <c r="W21" s="405"/>
      <c r="X21" s="59"/>
      <c r="Y21" s="109"/>
      <c r="Z21" s="431">
        <f t="shared" si="0"/>
        <v>0</v>
      </c>
      <c r="AA21" s="37" t="str">
        <f t="shared" si="1"/>
        <v/>
      </c>
      <c r="AB21" s="205" t="s">
        <v>253</v>
      </c>
      <c r="AC21" t="str">
        <f t="shared" si="2"/>
        <v>No Entrant</v>
      </c>
      <c r="AD21" s="27" t="str">
        <f t="shared" si="3"/>
        <v/>
      </c>
      <c r="AE21" s="211" t="str">
        <f t="shared" si="4"/>
        <v/>
      </c>
      <c r="AF21" s="211" t="str">
        <f t="shared" si="5"/>
        <v/>
      </c>
      <c r="AG21" s="211" t="str">
        <f t="shared" si="6"/>
        <v>SE 0</v>
      </c>
      <c r="AH21" s="211" t="str">
        <f t="shared" si="24"/>
        <v/>
      </c>
      <c r="AI21" s="211" t="str">
        <f t="shared" si="7"/>
        <v/>
      </c>
      <c r="AJ21" s="211" t="str">
        <f t="shared" si="8"/>
        <v>SE 0</v>
      </c>
      <c r="AK21" s="211" t="str">
        <f t="shared" si="25"/>
        <v/>
      </c>
      <c r="AL21" t="str">
        <f t="shared" si="9"/>
        <v/>
      </c>
      <c r="AM21" t="str">
        <f>IF(OR(H21="",H21="N",H21="Y"),"",IF(VLOOKUP(H21,LastYrList!A:D,2,FALSE)="Did Not Shoot","!!",IF(OR(VLOOKUP(H21,LastYrList!A:D,2,FALSE)&lt;&gt;'Entrant Data'!E8,VLOOKUP(H21,LastYrList!A:D,3,FALSE)&lt;&gt;'Entrant Data'!F8),CONCATENATE("Last yr entrant ",H21," was ",VLOOKUP(H21,LastYrList!A:D,2,FALSE)," ",VLOOKUP(H21,LastYrList!A:D,3,FALSE)," of ",VLOOKUP(H21,LastYrList!A:D,4,FALSE),". Check spelling etc. &amp; Proceed only if same person!"),"")))</f>
        <v/>
      </c>
      <c r="AN21" t="str">
        <f t="shared" si="29"/>
        <v/>
      </c>
      <c r="AO21" t="str">
        <f t="shared" si="26"/>
        <v/>
      </c>
      <c r="AP21" t="str">
        <f>IF(OR(H21="y",H21="n",H21="",AM21&lt;&gt;""),"",IF(E21=VLOOKUP(H21,LastYrList!A:G,7,FALSE),"",IF(VLOOKUP(H21,LastYrList!A:G,7,FALSE)="","","Check Date of Birth (Inconsistent with last year); ")))</f>
        <v/>
      </c>
      <c r="AQ21" t="str">
        <f>IF(OR(H21="",(ISERR(VALUE(H21)))),"",IF(G21=VLOOKUP(H21,LastYrList!A:G,5,FALSE),"",IF(VLOOKUP(H21,LastYrList!A:G,5,FALSE)="","","Check Member &amp; Last year Comp No. (Inconsistency with last year); ")))</f>
        <v/>
      </c>
      <c r="AR21" t="str">
        <f>IF(OR(H21="",H21="y",H21="n"),"",IF(F21=VLOOKUP(H21,LastYrList!A:G,6,FALSE),"","Check Gender (Inconsistent with last year); "))</f>
        <v/>
      </c>
      <c r="AS21" t="str">
        <f t="shared" si="10"/>
        <v/>
      </c>
      <c r="AT21" t="str">
        <f t="shared" si="11"/>
        <v/>
      </c>
      <c r="AU21" t="str">
        <f t="shared" si="12"/>
        <v/>
      </c>
      <c r="AV21" t="str">
        <f t="shared" si="13"/>
        <v/>
      </c>
      <c r="AW21" t="str">
        <f t="shared" si="14"/>
        <v/>
      </c>
      <c r="AX21" t="str">
        <f t="shared" si="15"/>
        <v/>
      </c>
      <c r="AY21" t="str">
        <f t="shared" si="27"/>
        <v/>
      </c>
      <c r="AZ21" t="str">
        <f t="shared" si="16"/>
        <v/>
      </c>
      <c r="BA21" t="str">
        <f t="shared" si="17"/>
        <v/>
      </c>
      <c r="BB21" t="str">
        <f t="shared" si="18"/>
        <v/>
      </c>
      <c r="BC21" t="str">
        <f t="shared" si="19"/>
        <v/>
      </c>
      <c r="BE21" s="347" t="str">
        <f t="shared" si="20"/>
        <v/>
      </c>
      <c r="BF21" s="347">
        <f t="shared" si="21"/>
        <v>0</v>
      </c>
      <c r="BG21" s="346" t="str">
        <f>IF(BF21&gt;BE21,"Too Many Extra Events","")</f>
        <v/>
      </c>
      <c r="BH21" s="346" t="str">
        <f t="shared" si="22"/>
        <v/>
      </c>
      <c r="BI21" s="206" t="str">
        <f>IF(ISNA(VLOOKUP(CONCATENATE('Entrant Data'!E8," ",'Entrant Data'!F8),LastYrList!$H:$J,2,FALSE)),"",IF(AND(OR(T(H21)&lt;&gt;"",H21=0),E21=VLOOKUP(CONCATENATE('Entrant Data'!E8," ",'Entrant Data'!F8),LastYrList!$H:$J,3,FALSE)),CONCATENATE('Entrant Data'!E8," ",'Entrant Data'!F8," was No. ",(VLOOKUP(CONCATENATE('Entrant Data'!E8," ",'Entrant Data'!F8),LastYrList!$H:$J,2,FALSE))," last year. "),""))</f>
        <v/>
      </c>
      <c r="BJ21" s="186" t="str">
        <f t="shared" si="23"/>
        <v/>
      </c>
    </row>
    <row r="22" spans="1:62" ht="13.5" x14ac:dyDescent="0.25">
      <c r="A22" s="259">
        <v>22</v>
      </c>
      <c r="B22" s="411">
        <v>6</v>
      </c>
      <c r="C22" s="60"/>
      <c r="D22" s="61"/>
      <c r="E22" s="62"/>
      <c r="F22" s="103"/>
      <c r="G22" s="63"/>
      <c r="H22" s="105"/>
      <c r="I22" s="105"/>
      <c r="J22" s="59"/>
      <c r="K22" s="407"/>
      <c r="L22" s="59"/>
      <c r="M22" s="59"/>
      <c r="N22" s="59"/>
      <c r="O22" s="59"/>
      <c r="P22" s="59"/>
      <c r="Q22" s="59"/>
      <c r="R22" s="59"/>
      <c r="S22" s="103"/>
      <c r="T22" s="59"/>
      <c r="U22" s="105"/>
      <c r="V22" s="405"/>
      <c r="W22" s="405"/>
      <c r="X22" s="59"/>
      <c r="Y22" s="109"/>
      <c r="Z22" s="431">
        <f t="shared" si="0"/>
        <v>0</v>
      </c>
      <c r="AA22" s="37" t="str">
        <f>CONCATENATE(BI22,AD22,AL22,AN22,AO22,AP22,AQ22,AR22,AT22,AU22,AV22,AW22,AX22,AY22,AZ22,BG22,BH22,AM22,AS22,BC22)</f>
        <v/>
      </c>
      <c r="AB22" s="205" t="s">
        <v>254</v>
      </c>
      <c r="AC22" t="str">
        <f t="shared" si="2"/>
        <v>No Entrant</v>
      </c>
      <c r="AD22" s="27" t="str">
        <f t="shared" si="3"/>
        <v/>
      </c>
      <c r="AE22" s="211" t="str">
        <f t="shared" si="4"/>
        <v/>
      </c>
      <c r="AF22" s="211" t="str">
        <f t="shared" si="5"/>
        <v/>
      </c>
      <c r="AG22" s="211" t="str">
        <f t="shared" si="6"/>
        <v>SF 0</v>
      </c>
      <c r="AH22" s="211" t="str">
        <f t="shared" si="24"/>
        <v/>
      </c>
      <c r="AI22" s="211" t="str">
        <f t="shared" si="7"/>
        <v/>
      </c>
      <c r="AJ22" s="211" t="str">
        <f t="shared" si="8"/>
        <v>SF 0</v>
      </c>
      <c r="AK22" s="211" t="str">
        <f t="shared" si="25"/>
        <v/>
      </c>
      <c r="AL22" t="str">
        <f t="shared" si="9"/>
        <v/>
      </c>
      <c r="AM22" t="str">
        <f>IF(OR(H22="",H22="N",H22="Y"),"",IF(VLOOKUP(H22,LastYrList!A:D,2,FALSE)="Did Not Shoot","!!",IF(OR(VLOOKUP(H22,LastYrList!A:D,2,FALSE)&lt;&gt;'Entrant Data'!E9,VLOOKUP(H22,LastYrList!A:D,3,FALSE)&lt;&gt;'Entrant Data'!F9),CONCATENATE("Last yr entrant ",H22," was ",VLOOKUP(H22,LastYrList!A:D,2,FALSE)," ",VLOOKUP(H22,LastYrList!A:D,3,FALSE)," of ",VLOOKUP(H22,LastYrList!A:D,4,FALSE),". Check spelling etc. &amp; Proceed only if same person!"),"")))</f>
        <v/>
      </c>
      <c r="AN22" t="str">
        <f t="shared" si="29"/>
        <v/>
      </c>
      <c r="AO22" t="str">
        <f t="shared" si="26"/>
        <v/>
      </c>
      <c r="AP22" t="str">
        <f>IF(OR(H22="y",H22="n",H22="",AM22&lt;&gt;""),"",IF(E22=VLOOKUP(H22,LastYrList!A:G,7,FALSE),"",IF(VLOOKUP(H22,LastYrList!A:G,7,FALSE)="","","Check Date of Birth (Inconsistent with last year); ")))</f>
        <v/>
      </c>
      <c r="AQ22" t="str">
        <f>IF(OR(H22="",(ISERR(VALUE(H22)))),"",IF(G22=VLOOKUP(H22,LastYrList!A:G,5,FALSE),"",IF(VLOOKUP(H22,LastYrList!A:G,5,FALSE)="","","Check Member &amp; Last year Comp No. (Inconsistency with last year); ")))</f>
        <v/>
      </c>
      <c r="AR22" t="str">
        <f>IF(OR(H22="",H22="y",H22="n"),"",IF(F22=VLOOKUP(H22,LastYrList!A:G,6,FALSE),"","Check Gender (Inconsistent with last year); "))</f>
        <v/>
      </c>
      <c r="AS22" t="str">
        <f t="shared" si="10"/>
        <v/>
      </c>
      <c r="AT22" t="str">
        <f t="shared" si="11"/>
        <v/>
      </c>
      <c r="AU22" t="str">
        <f t="shared" si="12"/>
        <v/>
      </c>
      <c r="AV22" t="str">
        <f t="shared" si="13"/>
        <v/>
      </c>
      <c r="AW22" t="str">
        <f t="shared" si="14"/>
        <v/>
      </c>
      <c r="AX22" t="str">
        <f t="shared" si="15"/>
        <v/>
      </c>
      <c r="AY22" t="str">
        <f t="shared" si="27"/>
        <v/>
      </c>
      <c r="AZ22" t="str">
        <f t="shared" si="16"/>
        <v/>
      </c>
      <c r="BA22" t="str">
        <f t="shared" si="17"/>
        <v/>
      </c>
      <c r="BB22" t="str">
        <f t="shared" si="18"/>
        <v/>
      </c>
      <c r="BC22" t="str">
        <f t="shared" si="19"/>
        <v/>
      </c>
      <c r="BE22" s="347" t="str">
        <f t="shared" si="20"/>
        <v/>
      </c>
      <c r="BF22" s="347">
        <f t="shared" si="21"/>
        <v>0</v>
      </c>
      <c r="BG22" s="346" t="str">
        <f t="shared" si="28"/>
        <v/>
      </c>
      <c r="BH22" s="346" t="str">
        <f t="shared" si="22"/>
        <v/>
      </c>
      <c r="BI22" s="206" t="str">
        <f>IF(ISNA(VLOOKUP(CONCATENATE('Entrant Data'!E9," ",'Entrant Data'!F9),LastYrList!$H:$J,2,FALSE)),"",IF(AND(OR(T(H22)&lt;&gt;"",H22=0),E22=VLOOKUP(CONCATENATE('Entrant Data'!E9," ",'Entrant Data'!F9),LastYrList!$H:$J,3,FALSE)),CONCATENATE('Entrant Data'!E9," ",'Entrant Data'!F9," was No. ",(VLOOKUP(CONCATENATE('Entrant Data'!E9," ",'Entrant Data'!F9),LastYrList!$H:$J,2,FALSE))," last year. "),""))</f>
        <v/>
      </c>
      <c r="BJ22" s="186" t="str">
        <f>CONCATENATE(AM22,AS22,BA22,BB22)</f>
        <v/>
      </c>
    </row>
    <row r="23" spans="1:62" ht="13.5" x14ac:dyDescent="0.25">
      <c r="A23" s="259">
        <v>23</v>
      </c>
      <c r="B23" s="411">
        <v>7</v>
      </c>
      <c r="C23" s="60"/>
      <c r="D23" s="61"/>
      <c r="E23" s="62"/>
      <c r="F23" s="103"/>
      <c r="G23" s="63"/>
      <c r="H23" s="105"/>
      <c r="I23" s="105"/>
      <c r="J23" s="59"/>
      <c r="K23" s="407"/>
      <c r="L23" s="59"/>
      <c r="M23" s="59"/>
      <c r="N23" s="59"/>
      <c r="O23" s="59"/>
      <c r="P23" s="59"/>
      <c r="Q23" s="59"/>
      <c r="R23" s="59"/>
      <c r="S23" s="103"/>
      <c r="T23" s="59"/>
      <c r="U23" s="105"/>
      <c r="V23" s="405"/>
      <c r="W23" s="405"/>
      <c r="X23" s="59"/>
      <c r="Y23" s="109"/>
      <c r="Z23" s="431">
        <f t="shared" si="0"/>
        <v>0</v>
      </c>
      <c r="AA23" s="37" t="str">
        <f t="shared" si="1"/>
        <v/>
      </c>
      <c r="AB23" s="205" t="s">
        <v>255</v>
      </c>
      <c r="AC23" t="str">
        <f t="shared" si="2"/>
        <v>No Entrant</v>
      </c>
      <c r="AD23" s="27" t="str">
        <f t="shared" si="3"/>
        <v/>
      </c>
      <c r="AE23" s="211" t="str">
        <f t="shared" si="4"/>
        <v/>
      </c>
      <c r="AF23" s="211" t="str">
        <f t="shared" si="5"/>
        <v/>
      </c>
      <c r="AG23" s="211" t="str">
        <f t="shared" si="6"/>
        <v>SG 0</v>
      </c>
      <c r="AH23" s="211" t="str">
        <f t="shared" si="24"/>
        <v/>
      </c>
      <c r="AI23" s="211" t="str">
        <f t="shared" si="7"/>
        <v/>
      </c>
      <c r="AJ23" s="211" t="str">
        <f t="shared" si="8"/>
        <v>SG 0</v>
      </c>
      <c r="AK23" s="211" t="str">
        <f t="shared" si="25"/>
        <v/>
      </c>
      <c r="AL23" t="str">
        <f t="shared" si="9"/>
        <v/>
      </c>
      <c r="AM23" t="str">
        <f>IF(OR(H23="",H23="N",H23="Y"),"",IF(VLOOKUP(H23,LastYrList!A:D,2,FALSE)="Did Not Shoot","!!",IF(OR(VLOOKUP(H23,LastYrList!A:D,2,FALSE)&lt;&gt;'Entrant Data'!E10,VLOOKUP(H23,LastYrList!A:D,3,FALSE)&lt;&gt;'Entrant Data'!F10),CONCATENATE("Last yr entrant ",H23," was ",VLOOKUP(H23,LastYrList!A:D,2,FALSE)," ",VLOOKUP(H23,LastYrList!A:D,3,FALSE)," of ",VLOOKUP(H23,LastYrList!A:D,4,FALSE),". Check spelling etc. &amp; Proceed only if same person!"),"")))</f>
        <v/>
      </c>
      <c r="AN23" t="str">
        <f t="shared" si="29"/>
        <v/>
      </c>
      <c r="AO23" t="str">
        <f t="shared" si="26"/>
        <v/>
      </c>
      <c r="AP23" t="str">
        <f>IF(OR(H23="y",H23="n",H23="",AM23&lt;&gt;""),"",IF(E23=VLOOKUP(H23,LastYrList!A:G,7,FALSE),"",IF(VLOOKUP(H23,LastYrList!A:G,7,FALSE)="","","Check Date of Birth (Inconsistent with last year); ")))</f>
        <v/>
      </c>
      <c r="AQ23" t="str">
        <f>IF(OR(H23="",(ISERR(VALUE(H23)))),"",IF(G23=VLOOKUP(H23,LastYrList!A:G,5,FALSE),"",IF(VLOOKUP(H23,LastYrList!A:G,5,FALSE)="","","Check Member &amp; Last year Comp No. (Inconsistency with last year); ")))</f>
        <v/>
      </c>
      <c r="AR23" t="str">
        <f>IF(OR(H23="",H23="y",H23="n"),"",IF(F23=VLOOKUP(H23,LastYrList!A:G,6,FALSE),"","Check Gender (Inconsistent with last year); "))</f>
        <v/>
      </c>
      <c r="AS23" t="str">
        <f t="shared" si="10"/>
        <v/>
      </c>
      <c r="AT23" t="str">
        <f t="shared" si="11"/>
        <v/>
      </c>
      <c r="AU23" t="str">
        <f t="shared" si="12"/>
        <v/>
      </c>
      <c r="AV23" t="str">
        <f t="shared" si="13"/>
        <v/>
      </c>
      <c r="AW23" t="str">
        <f t="shared" si="14"/>
        <v/>
      </c>
      <c r="AX23" t="str">
        <f t="shared" si="15"/>
        <v/>
      </c>
      <c r="AY23" t="str">
        <f t="shared" si="27"/>
        <v/>
      </c>
      <c r="AZ23" t="str">
        <f t="shared" si="16"/>
        <v/>
      </c>
      <c r="BA23" t="str">
        <f t="shared" si="17"/>
        <v/>
      </c>
      <c r="BB23" t="str">
        <f t="shared" si="18"/>
        <v/>
      </c>
      <c r="BC23" t="str">
        <f t="shared" si="19"/>
        <v/>
      </c>
      <c r="BE23" s="347" t="str">
        <f t="shared" si="20"/>
        <v/>
      </c>
      <c r="BF23" s="347">
        <f t="shared" si="21"/>
        <v>0</v>
      </c>
      <c r="BG23" s="346" t="str">
        <f t="shared" si="28"/>
        <v/>
      </c>
      <c r="BH23" s="346" t="str">
        <f t="shared" si="22"/>
        <v/>
      </c>
      <c r="BI23" s="206" t="str">
        <f>IF(ISNA(VLOOKUP(CONCATENATE('Entrant Data'!E10," ",'Entrant Data'!F10),LastYrList!$H:$J,2,FALSE)),"",IF(AND(OR(T(H23)&lt;&gt;"",H23=0),E23=VLOOKUP(CONCATENATE('Entrant Data'!E10," ",'Entrant Data'!F10),LastYrList!$H:$J,3,FALSE)),CONCATENATE('Entrant Data'!E10," ",'Entrant Data'!F10," was No. ",(VLOOKUP(CONCATENATE('Entrant Data'!E10," ",'Entrant Data'!F10),LastYrList!$H:$J,2,FALSE))," last year. "),""))</f>
        <v/>
      </c>
      <c r="BJ23" s="186" t="str">
        <f>CONCATENATE(AM23,AS23,BA23,BB23)</f>
        <v/>
      </c>
    </row>
    <row r="24" spans="1:62" ht="13.5" x14ac:dyDescent="0.25">
      <c r="A24" s="259">
        <v>24</v>
      </c>
      <c r="B24" s="411">
        <v>8</v>
      </c>
      <c r="C24" s="60"/>
      <c r="D24" s="61"/>
      <c r="E24" s="62"/>
      <c r="F24" s="103"/>
      <c r="G24" s="63"/>
      <c r="H24" s="105"/>
      <c r="I24" s="105"/>
      <c r="J24" s="59"/>
      <c r="K24" s="407"/>
      <c r="L24" s="59"/>
      <c r="M24" s="59"/>
      <c r="N24" s="59"/>
      <c r="O24" s="59"/>
      <c r="P24" s="59"/>
      <c r="Q24" s="59"/>
      <c r="R24" s="59"/>
      <c r="S24" s="103"/>
      <c r="T24" s="59"/>
      <c r="U24" s="105"/>
      <c r="V24" s="405"/>
      <c r="W24" s="405"/>
      <c r="X24" s="59"/>
      <c r="Y24" s="109"/>
      <c r="Z24" s="431">
        <f t="shared" si="0"/>
        <v>0</v>
      </c>
      <c r="AA24" s="37" t="str">
        <f>CONCATENATE(BI24,AD24,AL24,AN24,AO24,AP24,AQ24,AR24,AT24,AU24,AV24,AW24,AX24,AY24,AZ24,BG24,BH24,AM24,AS24,BC24)</f>
        <v/>
      </c>
      <c r="AB24" s="216" t="s">
        <v>309</v>
      </c>
      <c r="AC24" t="str">
        <f t="shared" si="2"/>
        <v>No Entrant</v>
      </c>
      <c r="AD24" s="27" t="str">
        <f t="shared" si="3"/>
        <v/>
      </c>
      <c r="AE24" s="211" t="str">
        <f t="shared" si="4"/>
        <v/>
      </c>
      <c r="AF24" s="211" t="str">
        <f t="shared" si="5"/>
        <v/>
      </c>
      <c r="AG24" s="211" t="str">
        <f t="shared" si="6"/>
        <v>SH 0</v>
      </c>
      <c r="AH24" s="211" t="str">
        <f t="shared" si="24"/>
        <v/>
      </c>
      <c r="AI24" s="211" t="str">
        <f t="shared" si="7"/>
        <v/>
      </c>
      <c r="AJ24" s="211" t="str">
        <f t="shared" si="8"/>
        <v>SH 0</v>
      </c>
      <c r="AK24" s="211" t="str">
        <f t="shared" si="25"/>
        <v/>
      </c>
      <c r="AL24" t="str">
        <f t="shared" si="9"/>
        <v/>
      </c>
      <c r="AM24" t="str">
        <f>IF(OR(H24="",H24="N",H24="Y"),"",IF(VLOOKUP(H24,LastYrList!A:D,2,FALSE)="Did Not Shoot","!!",IF(OR(VLOOKUP(H24,LastYrList!A:D,2,FALSE)&lt;&gt;'Entrant Data'!E11,VLOOKUP(H24,LastYrList!A:D,3,FALSE)&lt;&gt;'Entrant Data'!F11),CONCATENATE("Last yr entrant ",H24," was ",VLOOKUP(H24,LastYrList!A:D,2,FALSE)," ",VLOOKUP(H24,LastYrList!A:D,3,FALSE)," of ",VLOOKUP(H24,LastYrList!A:D,4,FALSE),". Check spelling etc. &amp; Proceed only if same person!"),"")))</f>
        <v/>
      </c>
      <c r="AN24" t="str">
        <f t="shared" si="29"/>
        <v/>
      </c>
      <c r="AO24" t="str">
        <f t="shared" si="26"/>
        <v/>
      </c>
      <c r="AP24" t="str">
        <f>IF(OR(H24="y",H24="n",H24="",AM24&lt;&gt;""),"",IF(E24=VLOOKUP(H24,LastYrList!A:G,7,FALSE),"",IF(VLOOKUP(H24,LastYrList!A:G,7,FALSE)="","","Check Date of Birth (Inconsistent with last year); ")))</f>
        <v/>
      </c>
      <c r="AQ24" t="str">
        <f>IF(OR(H24="",(ISERR(VALUE(H24)))),"",IF(G24=VLOOKUP(H24,LastYrList!A:G,5,FALSE),"",IF(VLOOKUP(H24,LastYrList!A:G,5,FALSE)="","","Check Member &amp; Last year Comp No. (Inconsistency with last year); ")))</f>
        <v/>
      </c>
      <c r="AR24" t="str">
        <f>IF(OR(H24="",H24="y",H24="n"),"",IF(F24=VLOOKUP(H24,LastYrList!A:G,6,FALSE),"","Check Gender (Inconsistent with last year); "))</f>
        <v/>
      </c>
      <c r="AS24" t="str">
        <f t="shared" si="10"/>
        <v/>
      </c>
      <c r="AT24" t="str">
        <f t="shared" si="11"/>
        <v/>
      </c>
      <c r="AU24" t="str">
        <f t="shared" si="12"/>
        <v/>
      </c>
      <c r="AV24" t="str">
        <f t="shared" si="13"/>
        <v/>
      </c>
      <c r="AW24" t="str">
        <f t="shared" si="14"/>
        <v/>
      </c>
      <c r="AX24" t="str">
        <f t="shared" si="15"/>
        <v/>
      </c>
      <c r="AY24" t="str">
        <f t="shared" si="27"/>
        <v/>
      </c>
      <c r="AZ24" t="str">
        <f t="shared" si="16"/>
        <v/>
      </c>
      <c r="BA24" t="str">
        <f t="shared" si="17"/>
        <v/>
      </c>
      <c r="BB24" t="str">
        <f t="shared" si="18"/>
        <v/>
      </c>
      <c r="BC24" t="str">
        <f t="shared" si="19"/>
        <v/>
      </c>
      <c r="BE24" s="347" t="str">
        <f t="shared" si="20"/>
        <v/>
      </c>
      <c r="BF24" s="347">
        <f t="shared" si="21"/>
        <v>0</v>
      </c>
      <c r="BG24" s="346" t="str">
        <f t="shared" si="28"/>
        <v/>
      </c>
      <c r="BH24" s="346" t="str">
        <f t="shared" si="22"/>
        <v/>
      </c>
      <c r="BI24" s="206" t="str">
        <f>IF(ISNA(VLOOKUP(CONCATENATE('Entrant Data'!E11," ",'Entrant Data'!F11),LastYrList!$H:$J,2,FALSE)),"",IF(AND(OR(T(H24)&lt;&gt;"",H24=0),E24=VLOOKUP(CONCATENATE('Entrant Data'!E11," ",'Entrant Data'!F11),LastYrList!$H:$J,3,FALSE)),CONCATENATE('Entrant Data'!E11," ",'Entrant Data'!F11," was No. ",(VLOOKUP(CONCATENATE('Entrant Data'!E11," ",'Entrant Data'!F11),LastYrList!$H:$J,2,FALSE))," last year. "),""))</f>
        <v/>
      </c>
      <c r="BJ24" s="186" t="str">
        <f t="shared" si="23"/>
        <v/>
      </c>
    </row>
    <row r="25" spans="1:62" ht="13.5" x14ac:dyDescent="0.25">
      <c r="A25" s="259">
        <v>25</v>
      </c>
      <c r="B25" s="411">
        <v>9</v>
      </c>
      <c r="C25" s="60"/>
      <c r="D25" s="61"/>
      <c r="E25" s="62"/>
      <c r="F25" s="103"/>
      <c r="G25" s="63"/>
      <c r="H25" s="105"/>
      <c r="I25" s="105"/>
      <c r="J25" s="59"/>
      <c r="K25" s="407"/>
      <c r="L25" s="59"/>
      <c r="M25" s="59"/>
      <c r="N25" s="59"/>
      <c r="O25" s="59"/>
      <c r="P25" s="59"/>
      <c r="Q25" s="59"/>
      <c r="R25" s="59"/>
      <c r="S25" s="103"/>
      <c r="T25" s="59"/>
      <c r="U25" s="105"/>
      <c r="V25" s="405"/>
      <c r="W25" s="405"/>
      <c r="X25" s="59"/>
      <c r="Y25" s="109"/>
      <c r="Z25" s="431">
        <f t="shared" si="0"/>
        <v>0</v>
      </c>
      <c r="AA25" s="37" t="str">
        <f t="shared" ref="AA25:AA43" si="30">CONCATENATE(BI25,AD25,AL25,AN25,AO25,AP25,AQ25,AR25,AT25,AU25,AV25,AW25,AX25,AY25,AZ25,BG25,BH25,AM25,AS25,BC25)</f>
        <v/>
      </c>
      <c r="AB25" s="205" t="s">
        <v>268</v>
      </c>
      <c r="AC25" t="str">
        <f t="shared" si="2"/>
        <v>No Entrant</v>
      </c>
      <c r="AD25" s="27" t="str">
        <f t="shared" si="3"/>
        <v/>
      </c>
      <c r="AE25" s="211" t="str">
        <f t="shared" si="4"/>
        <v/>
      </c>
      <c r="AF25" s="211" t="str">
        <f t="shared" si="5"/>
        <v/>
      </c>
      <c r="AG25" s="27"/>
      <c r="AH25" s="27"/>
      <c r="AI25" s="211" t="str">
        <f t="shared" si="7"/>
        <v/>
      </c>
      <c r="AJ25" s="27"/>
      <c r="AK25" s="27"/>
      <c r="AL25" t="str">
        <f t="shared" si="9"/>
        <v/>
      </c>
      <c r="AM25" t="str">
        <f>IF(OR(H25="",H25="N",H25="Y"),"",IF(VLOOKUP(H25,LastYrList!A:D,2,FALSE)="Did Not Shoot","!!",IF(OR(VLOOKUP(H25,LastYrList!A:D,2,FALSE)&lt;&gt;'Entrant Data'!E12,VLOOKUP(H25,LastYrList!A:D,3,FALSE)&lt;&gt;'Entrant Data'!F12),CONCATENATE("Last yr entrant ",H25," was ",VLOOKUP(H25,LastYrList!A:D,2,FALSE)," ",VLOOKUP(H25,LastYrList!A:D,3,FALSE)," of ",VLOOKUP(H25,LastYrList!A:D,4,FALSE),". Check spelling etc. &amp; Proceed only if same person!"),"")))</f>
        <v/>
      </c>
      <c r="AN25" t="str">
        <f t="shared" si="29"/>
        <v/>
      </c>
      <c r="AO25" t="str">
        <f t="shared" si="26"/>
        <v/>
      </c>
      <c r="AP25" t="str">
        <f>IF(OR(H25="y",H25="n",H25="",AM25&lt;&gt;""),"",IF(E25=VLOOKUP(H25,LastYrList!A:G,7,FALSE),"",IF(VLOOKUP(H25,LastYrList!A:G,7,FALSE)="","","Check Date of Birth (Inconsistent with last year); ")))</f>
        <v/>
      </c>
      <c r="AQ25" t="str">
        <f>IF(OR(H25="",(ISERR(VALUE(H25)))),"",IF(G25=VLOOKUP(H25,LastYrList!A:G,5,FALSE),"",IF(VLOOKUP(H25,LastYrList!A:G,5,FALSE)="","","Check Member &amp; Last year Comp No. (Inconsistency with last year); ")))</f>
        <v/>
      </c>
      <c r="AR25" t="str">
        <f>IF(OR(H25="",H25="y",H25="n"),"",IF(F25=VLOOKUP(H25,LastYrList!A:G,6,FALSE),"","Check Gender (Inconsistent with last year); "))</f>
        <v/>
      </c>
      <c r="AS25" t="str">
        <f t="shared" si="10"/>
        <v/>
      </c>
      <c r="AT25" t="str">
        <f t="shared" si="11"/>
        <v/>
      </c>
      <c r="AU25" t="str">
        <f t="shared" si="12"/>
        <v/>
      </c>
      <c r="AV25" t="str">
        <f t="shared" si="13"/>
        <v/>
      </c>
      <c r="AW25" t="str">
        <f t="shared" si="14"/>
        <v/>
      </c>
      <c r="AX25" t="str">
        <f t="shared" si="15"/>
        <v/>
      </c>
      <c r="AY25" t="str">
        <f t="shared" si="27"/>
        <v/>
      </c>
      <c r="AZ25" t="str">
        <f t="shared" si="16"/>
        <v/>
      </c>
      <c r="BA25" t="str">
        <f t="shared" si="17"/>
        <v/>
      </c>
      <c r="BB25" t="str">
        <f t="shared" si="18"/>
        <v/>
      </c>
      <c r="BC25" t="str">
        <f t="shared" si="19"/>
        <v/>
      </c>
      <c r="BE25" s="347" t="str">
        <f t="shared" si="20"/>
        <v/>
      </c>
      <c r="BF25" s="347">
        <f t="shared" si="21"/>
        <v>0</v>
      </c>
      <c r="BG25" s="346" t="str">
        <f t="shared" si="28"/>
        <v/>
      </c>
      <c r="BH25" s="346" t="str">
        <f t="shared" si="22"/>
        <v/>
      </c>
      <c r="BI25" s="206" t="str">
        <f>IF(ISNA(VLOOKUP(CONCATENATE('Entrant Data'!E12," ",'Entrant Data'!F12),LastYrList!$H:$J,2,FALSE)),"",IF(AND(OR(T(H25)&lt;&gt;"",H25=0),E25=VLOOKUP(CONCATENATE('Entrant Data'!E12," ",'Entrant Data'!F12),LastYrList!$H:$J,3,FALSE)),CONCATENATE('Entrant Data'!E12," ",'Entrant Data'!F12," was No. ",(VLOOKUP(CONCATENATE('Entrant Data'!E12," ",'Entrant Data'!F12),LastYrList!$H:$J,2,FALSE))," last year. "),""))</f>
        <v/>
      </c>
      <c r="BJ25" s="186" t="str">
        <f t="shared" si="23"/>
        <v/>
      </c>
    </row>
    <row r="26" spans="1:62" ht="13.5" x14ac:dyDescent="0.25">
      <c r="A26" s="259">
        <v>26</v>
      </c>
      <c r="B26" s="411">
        <v>10</v>
      </c>
      <c r="C26" s="60"/>
      <c r="D26" s="61"/>
      <c r="E26" s="62"/>
      <c r="F26" s="103"/>
      <c r="G26" s="63"/>
      <c r="H26" s="105"/>
      <c r="I26" s="105"/>
      <c r="J26" s="59"/>
      <c r="K26" s="407"/>
      <c r="L26" s="59"/>
      <c r="M26" s="59"/>
      <c r="N26" s="59"/>
      <c r="O26" s="59"/>
      <c r="P26" s="59"/>
      <c r="Q26" s="59"/>
      <c r="R26" s="59"/>
      <c r="S26" s="103"/>
      <c r="T26" s="59"/>
      <c r="U26" s="105"/>
      <c r="V26" s="405"/>
      <c r="W26" s="405"/>
      <c r="X26" s="59"/>
      <c r="Y26" s="109"/>
      <c r="Z26" s="431">
        <f t="shared" si="0"/>
        <v>0</v>
      </c>
      <c r="AA26" s="37" t="str">
        <f t="shared" si="30"/>
        <v/>
      </c>
      <c r="AB26" s="217" t="s">
        <v>323</v>
      </c>
      <c r="AC26" t="str">
        <f t="shared" si="2"/>
        <v>No Entrant</v>
      </c>
      <c r="AD26" s="27" t="str">
        <f t="shared" si="3"/>
        <v/>
      </c>
      <c r="AE26" s="211" t="str">
        <f t="shared" si="4"/>
        <v/>
      </c>
      <c r="AF26" s="211" t="str">
        <f t="shared" si="5"/>
        <v/>
      </c>
      <c r="AG26" s="27"/>
      <c r="AH26" s="27"/>
      <c r="AI26" s="211" t="str">
        <f t="shared" si="7"/>
        <v/>
      </c>
      <c r="AJ26" s="27"/>
      <c r="AK26" s="27"/>
      <c r="AL26" t="str">
        <f t="shared" si="9"/>
        <v/>
      </c>
      <c r="AM26" t="str">
        <f>IF(OR(H26="",H26="N",H26="Y"),"",IF(VLOOKUP(H26,LastYrList!A:D,2,FALSE)="Did Not Shoot","!!",IF(OR(VLOOKUP(H26,LastYrList!A:D,2,FALSE)&lt;&gt;'Entrant Data'!E13,VLOOKUP(H26,LastYrList!A:D,3,FALSE)&lt;&gt;'Entrant Data'!F13),CONCATENATE("Last yr entrant ",H26," was ",VLOOKUP(H26,LastYrList!A:D,2,FALSE)," ",VLOOKUP(H26,LastYrList!A:D,3,FALSE)," of ",VLOOKUP(H26,LastYrList!A:D,4,FALSE),". Check spelling etc. &amp; Proceed only if same person!"),"")))</f>
        <v/>
      </c>
      <c r="AN26" t="str">
        <f t="shared" si="29"/>
        <v/>
      </c>
      <c r="AO26" t="str">
        <f t="shared" si="26"/>
        <v/>
      </c>
      <c r="AP26" t="str">
        <f>IF(OR(H26="y",H26="n",H26="",AM26&lt;&gt;""),"",IF(E26=VLOOKUP(H26,LastYrList!A:G,7,FALSE),"",IF(VLOOKUP(H26,LastYrList!A:G,7,FALSE)="","","Check Date of Birth (Inconsistent with last year); ")))</f>
        <v/>
      </c>
      <c r="AQ26" t="str">
        <f>IF(OR(H26="",(ISERR(VALUE(H26)))),"",IF(G26=VLOOKUP(H26,LastYrList!A:G,5,FALSE),"",IF(VLOOKUP(H26,LastYrList!A:G,5,FALSE)="","","Check Member &amp; Last year Comp No. (Inconsistency with last year); ")))</f>
        <v/>
      </c>
      <c r="AR26" t="str">
        <f>IF(OR(H26="",H26="y",H26="n"),"",IF(F26=VLOOKUP(H26,LastYrList!A:G,6,FALSE),"","Check Gender (Inconsistent with last year); "))</f>
        <v/>
      </c>
      <c r="AS26" t="str">
        <f t="shared" si="10"/>
        <v/>
      </c>
      <c r="AT26" t="str">
        <f t="shared" si="11"/>
        <v/>
      </c>
      <c r="AU26" t="str">
        <f t="shared" si="12"/>
        <v/>
      </c>
      <c r="AV26" t="str">
        <f t="shared" si="13"/>
        <v/>
      </c>
      <c r="AW26" t="str">
        <f t="shared" si="14"/>
        <v/>
      </c>
      <c r="AX26" t="str">
        <f t="shared" si="15"/>
        <v/>
      </c>
      <c r="AY26" t="str">
        <f t="shared" si="27"/>
        <v/>
      </c>
      <c r="AZ26" t="str">
        <f t="shared" si="16"/>
        <v/>
      </c>
      <c r="BA26" t="str">
        <f t="shared" si="17"/>
        <v/>
      </c>
      <c r="BB26" t="str">
        <f t="shared" si="18"/>
        <v/>
      </c>
      <c r="BC26" t="str">
        <f t="shared" si="19"/>
        <v/>
      </c>
      <c r="BE26" s="347" t="str">
        <f t="shared" si="20"/>
        <v/>
      </c>
      <c r="BF26" s="347">
        <f t="shared" si="21"/>
        <v>0</v>
      </c>
      <c r="BG26" s="346" t="str">
        <f t="shared" si="28"/>
        <v/>
      </c>
      <c r="BH26" s="346" t="str">
        <f t="shared" si="22"/>
        <v/>
      </c>
      <c r="BI26" s="206" t="str">
        <f>IF(ISNA(VLOOKUP(CONCATENATE('Entrant Data'!E13," ",'Entrant Data'!F13),LastYrList!$H:$J,2,FALSE)),"",IF(AND(OR(T(H26)&lt;&gt;"",H26=0),E26=VLOOKUP(CONCATENATE('Entrant Data'!E13," ",'Entrant Data'!F13),LastYrList!$H:$J,3,FALSE)),CONCATENATE('Entrant Data'!E13," ",'Entrant Data'!F13," was No. ",(VLOOKUP(CONCATENATE('Entrant Data'!E13," ",'Entrant Data'!F13),LastYrList!$H:$J,2,FALSE))," last year. "),""))</f>
        <v/>
      </c>
      <c r="BJ26" s="186" t="str">
        <f t="shared" si="23"/>
        <v/>
      </c>
    </row>
    <row r="27" spans="1:62" ht="13.5" x14ac:dyDescent="0.25">
      <c r="A27" s="259">
        <v>27</v>
      </c>
      <c r="B27" s="411">
        <v>11</v>
      </c>
      <c r="C27" s="60"/>
      <c r="D27" s="61"/>
      <c r="E27" s="62"/>
      <c r="F27" s="103"/>
      <c r="G27" s="63"/>
      <c r="H27" s="105"/>
      <c r="I27" s="105"/>
      <c r="J27" s="59"/>
      <c r="K27" s="407"/>
      <c r="L27" s="59"/>
      <c r="M27" s="59"/>
      <c r="N27" s="59"/>
      <c r="O27" s="59"/>
      <c r="P27" s="59"/>
      <c r="Q27" s="59"/>
      <c r="R27" s="59"/>
      <c r="S27" s="103"/>
      <c r="T27" s="59"/>
      <c r="U27" s="105"/>
      <c r="V27" s="405"/>
      <c r="W27" s="405"/>
      <c r="X27" s="59"/>
      <c r="Y27" s="109"/>
      <c r="Z27" s="431">
        <f t="shared" si="0"/>
        <v>0</v>
      </c>
      <c r="AA27" s="37" t="str">
        <f t="shared" si="30"/>
        <v/>
      </c>
      <c r="AB27" s="205" t="s">
        <v>29</v>
      </c>
      <c r="AC27" t="str">
        <f t="shared" si="2"/>
        <v>No Entrant</v>
      </c>
      <c r="AD27" s="27" t="str">
        <f t="shared" si="3"/>
        <v/>
      </c>
      <c r="AE27" s="211" t="str">
        <f t="shared" si="4"/>
        <v/>
      </c>
      <c r="AF27" s="211" t="str">
        <f t="shared" si="5"/>
        <v/>
      </c>
      <c r="AG27" s="27"/>
      <c r="AH27" s="27"/>
      <c r="AI27" s="211" t="str">
        <f t="shared" si="7"/>
        <v/>
      </c>
      <c r="AJ27" s="27"/>
      <c r="AK27" s="27"/>
      <c r="AL27" t="str">
        <f t="shared" si="9"/>
        <v/>
      </c>
      <c r="AM27" t="str">
        <f>IF(OR(H27="",H27="N",H27="Y"),"",IF(VLOOKUP(H27,LastYrList!A:D,2,FALSE)="Did Not Shoot","!!",IF(OR(VLOOKUP(H27,LastYrList!A:D,2,FALSE)&lt;&gt;'Entrant Data'!E14,VLOOKUP(H27,LastYrList!A:D,3,FALSE)&lt;&gt;'Entrant Data'!F14),CONCATENATE("Last yr entrant ",H27," was ",VLOOKUP(H27,LastYrList!A:D,2,FALSE)," ",VLOOKUP(H27,LastYrList!A:D,3,FALSE)," of ",VLOOKUP(H27,LastYrList!A:D,4,FALSE),". Check spelling etc. &amp; Proceed only if same person!"),"")))</f>
        <v/>
      </c>
      <c r="AN27" t="str">
        <f t="shared" si="29"/>
        <v/>
      </c>
      <c r="AO27" t="str">
        <f t="shared" si="26"/>
        <v/>
      </c>
      <c r="AP27" t="str">
        <f>IF(OR(H27="y",H27="n",H27="",AM27&lt;&gt;""),"",IF(E27=VLOOKUP(H27,LastYrList!A:G,7,FALSE),"",IF(VLOOKUP(H27,LastYrList!A:G,7,FALSE)="","","Check Date of Birth (Inconsistent with last year); ")))</f>
        <v/>
      </c>
      <c r="AQ27" t="str">
        <f>IF(OR(H27="",(ISERR(VALUE(H27)))),"",IF(G27=VLOOKUP(H27,LastYrList!A:G,5,FALSE),"",IF(VLOOKUP(H27,LastYrList!A:G,5,FALSE)="","","Check Member &amp; Last year Comp No. (Inconsistency with last year); ")))</f>
        <v/>
      </c>
      <c r="AR27" t="str">
        <f>IF(OR(H27="",H27="y",H27="n"),"",IF(F27=VLOOKUP(H27,LastYrList!A:G,6,FALSE),"","Check Gender (Inconsistent with last year); "))</f>
        <v/>
      </c>
      <c r="AS27" t="str">
        <f t="shared" si="10"/>
        <v/>
      </c>
      <c r="AT27" t="str">
        <f t="shared" si="11"/>
        <v/>
      </c>
      <c r="AU27" t="str">
        <f t="shared" si="12"/>
        <v/>
      </c>
      <c r="AV27" t="str">
        <f t="shared" si="13"/>
        <v/>
      </c>
      <c r="AW27" t="str">
        <f t="shared" si="14"/>
        <v/>
      </c>
      <c r="AX27" t="str">
        <f t="shared" si="15"/>
        <v/>
      </c>
      <c r="AY27" t="str">
        <f t="shared" si="27"/>
        <v/>
      </c>
      <c r="AZ27" t="str">
        <f t="shared" si="16"/>
        <v/>
      </c>
      <c r="BA27" t="str">
        <f t="shared" si="17"/>
        <v/>
      </c>
      <c r="BB27" t="str">
        <f t="shared" si="18"/>
        <v/>
      </c>
      <c r="BC27" t="str">
        <f t="shared" si="19"/>
        <v/>
      </c>
      <c r="BE27" s="347" t="str">
        <f t="shared" si="20"/>
        <v/>
      </c>
      <c r="BF27" s="347">
        <f t="shared" si="21"/>
        <v>0</v>
      </c>
      <c r="BG27" s="346" t="str">
        <f t="shared" si="28"/>
        <v/>
      </c>
      <c r="BH27" s="346" t="str">
        <f t="shared" si="22"/>
        <v/>
      </c>
      <c r="BI27" s="206" t="str">
        <f>IF(ISNA(VLOOKUP(CONCATENATE('Entrant Data'!E14," ",'Entrant Data'!F14),LastYrList!$H:$J,2,FALSE)),"",IF(AND(OR(T(H27)&lt;&gt;"",H27=0),E27=VLOOKUP(CONCATENATE('Entrant Data'!E14," ",'Entrant Data'!F14),LastYrList!$H:$J,3,FALSE)),CONCATENATE('Entrant Data'!E14," ",'Entrant Data'!F14," was No. ",(VLOOKUP(CONCATENATE('Entrant Data'!E14," ",'Entrant Data'!F14),LastYrList!$H:$J,2,FALSE))," last year. "),""))</f>
        <v/>
      </c>
      <c r="BJ27" s="186" t="str">
        <f t="shared" si="23"/>
        <v/>
      </c>
    </row>
    <row r="28" spans="1:62" ht="13.5" x14ac:dyDescent="0.25">
      <c r="A28" s="259">
        <v>28</v>
      </c>
      <c r="B28" s="411">
        <v>12</v>
      </c>
      <c r="C28" s="60"/>
      <c r="D28" s="61"/>
      <c r="E28" s="62"/>
      <c r="F28" s="103"/>
      <c r="G28" s="63"/>
      <c r="H28" s="105"/>
      <c r="I28" s="105"/>
      <c r="J28" s="59"/>
      <c r="K28" s="407"/>
      <c r="L28" s="59"/>
      <c r="M28" s="59"/>
      <c r="N28" s="59"/>
      <c r="O28" s="59"/>
      <c r="P28" s="59"/>
      <c r="Q28" s="59"/>
      <c r="R28" s="59"/>
      <c r="S28" s="103"/>
      <c r="T28" s="59"/>
      <c r="U28" s="105"/>
      <c r="V28" s="405"/>
      <c r="W28" s="405"/>
      <c r="X28" s="59"/>
      <c r="Y28" s="109"/>
      <c r="Z28" s="431">
        <f t="shared" si="0"/>
        <v>0</v>
      </c>
      <c r="AA28" s="37" t="str">
        <f t="shared" si="30"/>
        <v/>
      </c>
      <c r="AB28" s="205" t="s">
        <v>37</v>
      </c>
      <c r="AC28" t="str">
        <f t="shared" si="2"/>
        <v>No Entrant</v>
      </c>
      <c r="AD28" s="27" t="str">
        <f t="shared" si="3"/>
        <v/>
      </c>
      <c r="AE28" s="211" t="str">
        <f t="shared" si="4"/>
        <v/>
      </c>
      <c r="AF28" s="211" t="str">
        <f t="shared" si="5"/>
        <v/>
      </c>
      <c r="AG28" s="27"/>
      <c r="AH28" s="27"/>
      <c r="AI28" s="211" t="str">
        <f t="shared" si="7"/>
        <v/>
      </c>
      <c r="AJ28" s="27"/>
      <c r="AK28" s="27"/>
      <c r="AL28" t="str">
        <f t="shared" si="9"/>
        <v/>
      </c>
      <c r="AM28" t="str">
        <f>IF(OR(H28="",H28="N",H28="Y"),"",IF(VLOOKUP(H28,LastYrList!A:D,2,FALSE)="Did Not Shoot","!!",IF(OR(VLOOKUP(H28,LastYrList!A:D,2,FALSE)&lt;&gt;'Entrant Data'!E15,VLOOKUP(H28,LastYrList!A:D,3,FALSE)&lt;&gt;'Entrant Data'!F15),CONCATENATE("Last yr entrant ",H28," was ",VLOOKUP(H28,LastYrList!A:D,2,FALSE)," ",VLOOKUP(H28,LastYrList!A:D,3,FALSE)," of ",VLOOKUP(H28,LastYrList!A:D,4,FALSE),". Check spelling etc. &amp; Proceed only if same person!"),"")))</f>
        <v/>
      </c>
      <c r="AN28" t="str">
        <f t="shared" si="29"/>
        <v/>
      </c>
      <c r="AO28" t="str">
        <f t="shared" si="26"/>
        <v/>
      </c>
      <c r="AP28" t="str">
        <f>IF(OR(H28="y",H28="n",H28="",AM28&lt;&gt;""),"",IF(E28=VLOOKUP(H28,LastYrList!A:G,7,FALSE),"",IF(VLOOKUP(H28,LastYrList!A:G,7,FALSE)="","","Check Date of Birth (Inconsistent with last year); ")))</f>
        <v/>
      </c>
      <c r="AQ28" t="str">
        <f>IF(OR(H28="",(ISERR(VALUE(H28)))),"",IF(G28=VLOOKUP(H28,LastYrList!A:G,5,FALSE),"",IF(VLOOKUP(H28,LastYrList!A:G,5,FALSE)="","","Check Member &amp; Last year Comp No. (Inconsistency with last year); ")))</f>
        <v/>
      </c>
      <c r="AR28" t="str">
        <f>IF(OR(H28="",H28="y",H28="n"),"",IF(F28=VLOOKUP(H28,LastYrList!A:G,6,FALSE),"","Check Gender (Inconsistent with last year); "))</f>
        <v/>
      </c>
      <c r="AS28" t="str">
        <f t="shared" si="10"/>
        <v/>
      </c>
      <c r="AT28" t="str">
        <f t="shared" si="11"/>
        <v/>
      </c>
      <c r="AU28" t="str">
        <f t="shared" si="12"/>
        <v/>
      </c>
      <c r="AV28" t="str">
        <f t="shared" si="13"/>
        <v/>
      </c>
      <c r="AW28" t="str">
        <f t="shared" si="14"/>
        <v/>
      </c>
      <c r="AX28" t="str">
        <f t="shared" si="15"/>
        <v/>
      </c>
      <c r="AY28" t="str">
        <f t="shared" si="27"/>
        <v/>
      </c>
      <c r="AZ28" t="str">
        <f t="shared" si="16"/>
        <v/>
      </c>
      <c r="BA28" t="str">
        <f t="shared" si="17"/>
        <v/>
      </c>
      <c r="BB28" t="str">
        <f t="shared" si="18"/>
        <v/>
      </c>
      <c r="BC28" t="str">
        <f t="shared" si="19"/>
        <v/>
      </c>
      <c r="BE28" s="347" t="str">
        <f t="shared" si="20"/>
        <v/>
      </c>
      <c r="BF28" s="347">
        <f t="shared" si="21"/>
        <v>0</v>
      </c>
      <c r="BG28" s="346" t="str">
        <f t="shared" si="28"/>
        <v/>
      </c>
      <c r="BH28" s="346" t="str">
        <f t="shared" si="22"/>
        <v/>
      </c>
      <c r="BI28" s="206" t="str">
        <f>IF(ISNA(VLOOKUP(CONCATENATE('Entrant Data'!E15," ",'Entrant Data'!F15),LastYrList!$H:$J,2,FALSE)),"",IF(AND(OR(T(H28)&lt;&gt;"",H28=0),E28=VLOOKUP(CONCATENATE('Entrant Data'!E15," ",'Entrant Data'!F15),LastYrList!$H:$J,3,FALSE)),CONCATENATE('Entrant Data'!E15," ",'Entrant Data'!F15," was No. ",(VLOOKUP(CONCATENATE('Entrant Data'!E15," ",'Entrant Data'!F15),LastYrList!$H:$J,2,FALSE))," last year. "),""))</f>
        <v/>
      </c>
      <c r="BJ28" s="186" t="str">
        <f t="shared" si="23"/>
        <v/>
      </c>
    </row>
    <row r="29" spans="1:62" ht="13.5" x14ac:dyDescent="0.25">
      <c r="A29" s="259">
        <v>29</v>
      </c>
      <c r="B29" s="411">
        <v>13</v>
      </c>
      <c r="C29" s="60"/>
      <c r="D29" s="61"/>
      <c r="E29" s="62"/>
      <c r="F29" s="103"/>
      <c r="G29" s="63"/>
      <c r="H29" s="105"/>
      <c r="I29" s="105"/>
      <c r="J29" s="59"/>
      <c r="K29" s="407"/>
      <c r="L29" s="59"/>
      <c r="M29" s="59"/>
      <c r="N29" s="59"/>
      <c r="O29" s="59"/>
      <c r="P29" s="59"/>
      <c r="Q29" s="59"/>
      <c r="R29" s="59"/>
      <c r="S29" s="103"/>
      <c r="T29" s="59"/>
      <c r="U29" s="105"/>
      <c r="V29" s="405"/>
      <c r="W29" s="405"/>
      <c r="X29" s="59"/>
      <c r="Y29" s="109"/>
      <c r="Z29" s="431">
        <f t="shared" si="0"/>
        <v>0</v>
      </c>
      <c r="AA29" s="37" t="str">
        <f t="shared" si="30"/>
        <v/>
      </c>
      <c r="AB29" s="205" t="s">
        <v>269</v>
      </c>
      <c r="AC29" t="str">
        <f t="shared" si="2"/>
        <v>No Entrant</v>
      </c>
      <c r="AD29" s="27" t="str">
        <f t="shared" si="3"/>
        <v/>
      </c>
      <c r="AE29" s="211" t="str">
        <f t="shared" si="4"/>
        <v/>
      </c>
      <c r="AF29" s="211" t="str">
        <f t="shared" si="5"/>
        <v/>
      </c>
      <c r="AG29" s="27"/>
      <c r="AH29" s="27"/>
      <c r="AI29" s="211" t="str">
        <f t="shared" si="7"/>
        <v/>
      </c>
      <c r="AJ29" s="27"/>
      <c r="AK29" s="27"/>
      <c r="AL29" t="str">
        <f t="shared" si="9"/>
        <v/>
      </c>
      <c r="AM29" t="str">
        <f>IF(OR(H29="",H29="N",H29="Y"),"",IF(VLOOKUP(H29,LastYrList!A:D,2,FALSE)="Did Not Shoot","!!",IF(OR(VLOOKUP(H29,LastYrList!A:D,2,FALSE)&lt;&gt;'Entrant Data'!E16,VLOOKUP(H29,LastYrList!A:D,3,FALSE)&lt;&gt;'Entrant Data'!F16),CONCATENATE("Last yr entrant ",H29," was ",VLOOKUP(H29,LastYrList!A:D,2,FALSE)," ",VLOOKUP(H29,LastYrList!A:D,3,FALSE)," of ",VLOOKUP(H29,LastYrList!A:D,4,FALSE),". Check spelling etc. &amp; Proceed only if same person!"),"")))</f>
        <v/>
      </c>
      <c r="AN29" t="str">
        <f t="shared" si="29"/>
        <v/>
      </c>
      <c r="AO29" t="str">
        <f t="shared" si="26"/>
        <v/>
      </c>
      <c r="AP29" t="str">
        <f>IF(OR(H29="y",H29="n",H29="",AM29&lt;&gt;""),"",IF(E29=VLOOKUP(H29,LastYrList!A:G,7,FALSE),"",IF(VLOOKUP(H29,LastYrList!A:G,7,FALSE)="","","Check Date of Birth (Inconsistent with last year); ")))</f>
        <v/>
      </c>
      <c r="AQ29" t="str">
        <f>IF(OR(H29="",(ISERR(VALUE(H29)))),"",IF(G29=VLOOKUP(H29,LastYrList!A:G,5,FALSE),"",IF(VLOOKUP(H29,LastYrList!A:G,5,FALSE)="","","Check Member &amp; Last year Comp No. (Inconsistency with last year); ")))</f>
        <v/>
      </c>
      <c r="AR29" t="str">
        <f>IF(OR(H29="",H29="y",H29="n"),"",IF(F29=VLOOKUP(H29,LastYrList!A:G,6,FALSE),"","Check Gender (Inconsistent with last year); "))</f>
        <v/>
      </c>
      <c r="AS29" t="str">
        <f t="shared" si="10"/>
        <v/>
      </c>
      <c r="AT29" t="str">
        <f t="shared" si="11"/>
        <v/>
      </c>
      <c r="AU29" t="str">
        <f t="shared" si="12"/>
        <v/>
      </c>
      <c r="AV29" t="str">
        <f t="shared" si="13"/>
        <v/>
      </c>
      <c r="AW29" t="str">
        <f t="shared" si="14"/>
        <v/>
      </c>
      <c r="AX29" t="str">
        <f t="shared" si="15"/>
        <v/>
      </c>
      <c r="AY29" t="str">
        <f t="shared" si="27"/>
        <v/>
      </c>
      <c r="AZ29" t="str">
        <f t="shared" si="16"/>
        <v/>
      </c>
      <c r="BA29" t="str">
        <f t="shared" si="17"/>
        <v/>
      </c>
      <c r="BB29" t="str">
        <f t="shared" si="18"/>
        <v/>
      </c>
      <c r="BC29" t="str">
        <f t="shared" si="19"/>
        <v/>
      </c>
      <c r="BE29" s="347" t="str">
        <f t="shared" si="20"/>
        <v/>
      </c>
      <c r="BF29" s="347">
        <f t="shared" si="21"/>
        <v>0</v>
      </c>
      <c r="BG29" s="346" t="str">
        <f t="shared" si="28"/>
        <v/>
      </c>
      <c r="BH29" s="346" t="str">
        <f t="shared" si="22"/>
        <v/>
      </c>
      <c r="BI29" s="206" t="str">
        <f>IF(ISNA(VLOOKUP(CONCATENATE('Entrant Data'!E16," ",'Entrant Data'!F16),LastYrList!$H:$J,2,FALSE)),"",IF(AND(OR(T(H29)&lt;&gt;"",H29=0),E29=VLOOKUP(CONCATENATE('Entrant Data'!E16," ",'Entrant Data'!F16),LastYrList!$H:$J,3,FALSE)),CONCATENATE('Entrant Data'!E16," ",'Entrant Data'!F16," was No. ",(VLOOKUP(CONCATENATE('Entrant Data'!E16," ",'Entrant Data'!F16),LastYrList!$H:$J,2,FALSE))," last year. "),""))</f>
        <v/>
      </c>
      <c r="BJ29" s="186" t="str">
        <f t="shared" si="23"/>
        <v/>
      </c>
    </row>
    <row r="30" spans="1:62" ht="13.5" x14ac:dyDescent="0.25">
      <c r="A30" s="259">
        <v>30</v>
      </c>
      <c r="B30" s="411">
        <v>14</v>
      </c>
      <c r="C30" s="60"/>
      <c r="D30" s="61"/>
      <c r="E30" s="62"/>
      <c r="F30" s="103"/>
      <c r="G30" s="63"/>
      <c r="H30" s="105"/>
      <c r="I30" s="105"/>
      <c r="J30" s="59"/>
      <c r="K30" s="407"/>
      <c r="L30" s="59"/>
      <c r="M30" s="59"/>
      <c r="N30" s="59"/>
      <c r="O30" s="59"/>
      <c r="P30" s="59"/>
      <c r="Q30" s="59"/>
      <c r="R30" s="59"/>
      <c r="S30" s="103"/>
      <c r="T30" s="59"/>
      <c r="U30" s="105"/>
      <c r="V30" s="405"/>
      <c r="W30" s="405"/>
      <c r="X30" s="59"/>
      <c r="Y30" s="109"/>
      <c r="Z30" s="431">
        <f t="shared" si="0"/>
        <v>0</v>
      </c>
      <c r="AA30" s="37" t="str">
        <f t="shared" si="30"/>
        <v/>
      </c>
      <c r="AB30" s="205" t="s">
        <v>36</v>
      </c>
      <c r="AC30" t="str">
        <f t="shared" si="2"/>
        <v>No Entrant</v>
      </c>
      <c r="AD30" s="27" t="str">
        <f t="shared" si="3"/>
        <v/>
      </c>
      <c r="AE30" s="211" t="str">
        <f t="shared" si="4"/>
        <v/>
      </c>
      <c r="AF30" s="211" t="str">
        <f t="shared" si="5"/>
        <v/>
      </c>
      <c r="AG30" s="27"/>
      <c r="AH30" s="27"/>
      <c r="AI30" s="211" t="str">
        <f t="shared" si="7"/>
        <v/>
      </c>
      <c r="AJ30" s="27"/>
      <c r="AK30" s="27"/>
      <c r="AL30" t="str">
        <f t="shared" si="9"/>
        <v/>
      </c>
      <c r="AM30" t="str">
        <f>IF(OR(H30="",H30="N",H30="Y"),"",IF(VLOOKUP(H30,LastYrList!A:D,2,FALSE)="Did Not Shoot","!!",IF(OR(VLOOKUP(H30,LastYrList!A:D,2,FALSE)&lt;&gt;'Entrant Data'!E17,VLOOKUP(H30,LastYrList!A:D,3,FALSE)&lt;&gt;'Entrant Data'!F17),CONCATENATE("Last yr entrant ",H30," was ",VLOOKUP(H30,LastYrList!A:D,2,FALSE)," ",VLOOKUP(H30,LastYrList!A:D,3,FALSE)," of ",VLOOKUP(H30,LastYrList!A:D,4,FALSE),". Check spelling etc. &amp; Proceed only if same person!"),"")))</f>
        <v/>
      </c>
      <c r="AN30" t="str">
        <f t="shared" si="29"/>
        <v/>
      </c>
      <c r="AO30" t="str">
        <f t="shared" si="26"/>
        <v/>
      </c>
      <c r="AP30" t="str">
        <f>IF(OR(H30="y",H30="n",H30="",AM30&lt;&gt;""),"",IF(E30=VLOOKUP(H30,LastYrList!A:G,7,FALSE),"",IF(VLOOKUP(H30,LastYrList!A:G,7,FALSE)="","","Check Date of Birth (Inconsistent with last year); ")))</f>
        <v/>
      </c>
      <c r="AQ30" t="str">
        <f>IF(OR(H30="",(ISERR(VALUE(H30)))),"",IF(G30=VLOOKUP(H30,LastYrList!A:G,5,FALSE),"",IF(VLOOKUP(H30,LastYrList!A:G,5,FALSE)="","","Check Member &amp; Last year Comp No. (Inconsistency with last year); ")))</f>
        <v/>
      </c>
      <c r="AR30" t="str">
        <f>IF(OR(H30="",H30="y",H30="n"),"",IF(F30=VLOOKUP(H30,LastYrList!A:G,6,FALSE),"","Check Gender (Inconsistent with last year); "))</f>
        <v/>
      </c>
      <c r="AS30" t="str">
        <f t="shared" si="10"/>
        <v/>
      </c>
      <c r="AT30" t="str">
        <f t="shared" si="11"/>
        <v/>
      </c>
      <c r="AU30" t="str">
        <f t="shared" si="12"/>
        <v/>
      </c>
      <c r="AV30" t="str">
        <f t="shared" si="13"/>
        <v/>
      </c>
      <c r="AW30" t="str">
        <f t="shared" si="14"/>
        <v/>
      </c>
      <c r="AX30" t="str">
        <f t="shared" si="15"/>
        <v/>
      </c>
      <c r="AY30" t="str">
        <f t="shared" si="27"/>
        <v/>
      </c>
      <c r="AZ30" t="str">
        <f t="shared" si="16"/>
        <v/>
      </c>
      <c r="BA30" t="str">
        <f t="shared" si="17"/>
        <v/>
      </c>
      <c r="BB30" t="str">
        <f t="shared" si="18"/>
        <v/>
      </c>
      <c r="BC30" t="str">
        <f t="shared" si="19"/>
        <v/>
      </c>
      <c r="BE30" s="347" t="str">
        <f t="shared" si="20"/>
        <v/>
      </c>
      <c r="BF30" s="347">
        <f t="shared" si="21"/>
        <v>0</v>
      </c>
      <c r="BG30" s="346" t="str">
        <f t="shared" si="28"/>
        <v/>
      </c>
      <c r="BH30" s="346" t="str">
        <f t="shared" si="22"/>
        <v/>
      </c>
      <c r="BI30" s="206" t="str">
        <f>IF(ISNA(VLOOKUP(CONCATENATE('Entrant Data'!E17," ",'Entrant Data'!F17),LastYrList!$H:$J,2,FALSE)),"",IF(AND(OR(T(H30)&lt;&gt;"",H30=0),E30=VLOOKUP(CONCATENATE('Entrant Data'!E17," ",'Entrant Data'!F17),LastYrList!$H:$J,3,FALSE)),CONCATENATE('Entrant Data'!E17," ",'Entrant Data'!F17," was No. ",(VLOOKUP(CONCATENATE('Entrant Data'!E17," ",'Entrant Data'!F17),LastYrList!$H:$J,2,FALSE))," last year. "),""))</f>
        <v/>
      </c>
      <c r="BJ30" s="186" t="str">
        <f t="shared" si="23"/>
        <v/>
      </c>
    </row>
    <row r="31" spans="1:62" ht="13.5" x14ac:dyDescent="0.25">
      <c r="A31" s="259">
        <v>31</v>
      </c>
      <c r="B31" s="411">
        <v>15</v>
      </c>
      <c r="C31" s="60"/>
      <c r="D31" s="61"/>
      <c r="E31" s="62"/>
      <c r="F31" s="103"/>
      <c r="G31" s="63"/>
      <c r="H31" s="105"/>
      <c r="I31" s="105"/>
      <c r="J31" s="59"/>
      <c r="K31" s="407"/>
      <c r="L31" s="59"/>
      <c r="M31" s="59"/>
      <c r="N31" s="59"/>
      <c r="O31" s="59"/>
      <c r="P31" s="59"/>
      <c r="Q31" s="59"/>
      <c r="R31" s="59"/>
      <c r="S31" s="103"/>
      <c r="T31" s="59"/>
      <c r="U31" s="105"/>
      <c r="V31" s="405"/>
      <c r="W31" s="405"/>
      <c r="X31" s="59"/>
      <c r="Y31" s="109"/>
      <c r="Z31" s="431">
        <f t="shared" si="0"/>
        <v>0</v>
      </c>
      <c r="AA31" s="37" t="str">
        <f t="shared" si="30"/>
        <v/>
      </c>
      <c r="AB31" s="205" t="s">
        <v>267</v>
      </c>
      <c r="AC31" t="str">
        <f t="shared" si="2"/>
        <v>No Entrant</v>
      </c>
      <c r="AD31" s="27" t="str">
        <f t="shared" si="3"/>
        <v/>
      </c>
      <c r="AE31" s="211" t="str">
        <f t="shared" si="4"/>
        <v/>
      </c>
      <c r="AF31" s="211" t="str">
        <f t="shared" si="5"/>
        <v/>
      </c>
      <c r="AG31" s="27"/>
      <c r="AH31" s="27"/>
      <c r="AI31" s="211" t="str">
        <f t="shared" si="7"/>
        <v/>
      </c>
      <c r="AJ31" s="27"/>
      <c r="AK31" s="27"/>
      <c r="AL31" t="str">
        <f t="shared" si="9"/>
        <v/>
      </c>
      <c r="AM31" t="str">
        <f>IF(OR(H31="",H31="N",H31="Y"),"",IF(VLOOKUP(H31,LastYrList!A:D,2,FALSE)="Did Not Shoot","!!",IF(OR(VLOOKUP(H31,LastYrList!A:D,2,FALSE)&lt;&gt;'Entrant Data'!E18,VLOOKUP(H31,LastYrList!A:D,3,FALSE)&lt;&gt;'Entrant Data'!F18),CONCATENATE("Last yr entrant ",H31," was ",VLOOKUP(H31,LastYrList!A:D,2,FALSE)," ",VLOOKUP(H31,LastYrList!A:D,3,FALSE)," of ",VLOOKUP(H31,LastYrList!A:D,4,FALSE),". Check spelling etc. &amp; Proceed only if same person!"),"")))</f>
        <v/>
      </c>
      <c r="AN31" t="str">
        <f t="shared" si="29"/>
        <v/>
      </c>
      <c r="AO31" t="str">
        <f t="shared" si="26"/>
        <v/>
      </c>
      <c r="AP31" t="str">
        <f>IF(OR(H31="y",H31="n",H31="",AM31&lt;&gt;""),"",IF(E31=VLOOKUP(H31,LastYrList!A:G,7,FALSE),"",IF(VLOOKUP(H31,LastYrList!A:G,7,FALSE)="","","Check Date of Birth (Inconsistent with last year); ")))</f>
        <v/>
      </c>
      <c r="AQ31" t="str">
        <f>IF(OR(H31="",(ISERR(VALUE(H31)))),"",IF(G31=VLOOKUP(H31,LastYrList!A:G,5,FALSE),"",IF(VLOOKUP(H31,LastYrList!A:G,5,FALSE)="","","Check Member &amp; Last year Comp No. (Inconsistency with last year); ")))</f>
        <v/>
      </c>
      <c r="AR31" t="str">
        <f>IF(OR(H31="",H31="y",H31="n"),"",IF(F31=VLOOKUP(H31,LastYrList!A:G,6,FALSE),"","Check Gender (Inconsistent with last year); "))</f>
        <v/>
      </c>
      <c r="AS31" t="str">
        <f t="shared" si="10"/>
        <v/>
      </c>
      <c r="AT31" t="str">
        <f t="shared" si="11"/>
        <v/>
      </c>
      <c r="AU31" t="str">
        <f t="shared" si="12"/>
        <v/>
      </c>
      <c r="AV31" t="str">
        <f t="shared" si="13"/>
        <v/>
      </c>
      <c r="AW31" t="str">
        <f t="shared" si="14"/>
        <v/>
      </c>
      <c r="AX31" t="str">
        <f t="shared" si="15"/>
        <v/>
      </c>
      <c r="AY31" t="str">
        <f t="shared" si="27"/>
        <v/>
      </c>
      <c r="AZ31" t="str">
        <f t="shared" si="16"/>
        <v/>
      </c>
      <c r="BA31" t="str">
        <f t="shared" si="17"/>
        <v/>
      </c>
      <c r="BB31" t="str">
        <f t="shared" si="18"/>
        <v/>
      </c>
      <c r="BC31" t="str">
        <f t="shared" si="19"/>
        <v/>
      </c>
      <c r="BE31" s="347" t="str">
        <f t="shared" si="20"/>
        <v/>
      </c>
      <c r="BF31" s="347">
        <f t="shared" si="21"/>
        <v>0</v>
      </c>
      <c r="BG31" s="346" t="str">
        <f t="shared" si="28"/>
        <v/>
      </c>
      <c r="BH31" s="346" t="str">
        <f t="shared" si="22"/>
        <v/>
      </c>
      <c r="BI31" s="206" t="str">
        <f>IF(ISNA(VLOOKUP(CONCATENATE('Entrant Data'!E18," ",'Entrant Data'!F18),LastYrList!$H:$J,2,FALSE)),"",IF(AND(OR(T(H31)&lt;&gt;"",H31=0),E31=VLOOKUP(CONCATENATE('Entrant Data'!E18," ",'Entrant Data'!F18),LastYrList!$H:$J,3,FALSE)),CONCATENATE('Entrant Data'!E18," ",'Entrant Data'!F18," was No. ",(VLOOKUP(CONCATENATE('Entrant Data'!E18," ",'Entrant Data'!F18),LastYrList!$H:$J,2,FALSE))," last year. "),""))</f>
        <v/>
      </c>
      <c r="BJ31" s="186" t="str">
        <f t="shared" si="23"/>
        <v/>
      </c>
    </row>
    <row r="32" spans="1:62" ht="13.5" x14ac:dyDescent="0.25">
      <c r="A32" s="259">
        <v>32</v>
      </c>
      <c r="B32" s="411">
        <v>16</v>
      </c>
      <c r="C32" s="60"/>
      <c r="D32" s="61"/>
      <c r="E32" s="62"/>
      <c r="F32" s="103"/>
      <c r="G32" s="63"/>
      <c r="H32" s="105"/>
      <c r="I32" s="105"/>
      <c r="J32" s="59"/>
      <c r="K32" s="407"/>
      <c r="L32" s="59"/>
      <c r="M32" s="59"/>
      <c r="N32" s="59"/>
      <c r="O32" s="59"/>
      <c r="P32" s="59"/>
      <c r="Q32" s="59"/>
      <c r="R32" s="59"/>
      <c r="S32" s="103"/>
      <c r="T32" s="59"/>
      <c r="U32" s="105"/>
      <c r="V32" s="405"/>
      <c r="W32" s="405"/>
      <c r="X32" s="59"/>
      <c r="Y32" s="109"/>
      <c r="Z32" s="431">
        <f t="shared" si="0"/>
        <v>0</v>
      </c>
      <c r="AA32" s="37" t="str">
        <f t="shared" si="30"/>
        <v/>
      </c>
      <c r="AB32" s="205" t="s">
        <v>266</v>
      </c>
      <c r="AC32" t="str">
        <f t="shared" si="2"/>
        <v>No Entrant</v>
      </c>
      <c r="AD32" s="27" t="str">
        <f t="shared" si="3"/>
        <v/>
      </c>
      <c r="AE32" s="211" t="str">
        <f t="shared" si="4"/>
        <v/>
      </c>
      <c r="AF32" s="211" t="str">
        <f t="shared" si="5"/>
        <v/>
      </c>
      <c r="AG32" s="27"/>
      <c r="AH32" s="27"/>
      <c r="AI32" s="211" t="str">
        <f t="shared" si="7"/>
        <v/>
      </c>
      <c r="AJ32" s="27"/>
      <c r="AK32" s="27"/>
      <c r="AL32" t="str">
        <f t="shared" si="9"/>
        <v/>
      </c>
      <c r="AM32" t="str">
        <f>IF(OR(H32="",H32="N",H32="Y"),"",IF(VLOOKUP(H32,LastYrList!A:D,2,FALSE)="Did Not Shoot","!!",IF(OR(VLOOKUP(H32,LastYrList!A:D,2,FALSE)&lt;&gt;'Entrant Data'!E19,VLOOKUP(H32,LastYrList!A:D,3,FALSE)&lt;&gt;'Entrant Data'!F19),CONCATENATE("Last yr entrant ",H32," was ",VLOOKUP(H32,LastYrList!A:D,2,FALSE)," ",VLOOKUP(H32,LastYrList!A:D,3,FALSE)," of ",VLOOKUP(H32,LastYrList!A:D,4,FALSE),". Check spelling etc. &amp; Proceed only if same person!"),"")))</f>
        <v/>
      </c>
      <c r="AN32" t="str">
        <f t="shared" si="29"/>
        <v/>
      </c>
      <c r="AO32" t="str">
        <f t="shared" si="26"/>
        <v/>
      </c>
      <c r="AP32" t="str">
        <f>IF(OR(H32="y",H32="n",H32="",AM32&lt;&gt;""),"",IF(E32=VLOOKUP(H32,LastYrList!A:G,7,FALSE),"",IF(VLOOKUP(H32,LastYrList!A:G,7,FALSE)="","","Check Date of Birth (Inconsistent with last year); ")))</f>
        <v/>
      </c>
      <c r="AQ32" t="str">
        <f>IF(OR(H32="",(ISERR(VALUE(H32)))),"",IF(G32=VLOOKUP(H32,LastYrList!A:G,5,FALSE),"",IF(VLOOKUP(H32,LastYrList!A:G,5,FALSE)="","","Check Member &amp; Last year Comp No. (Inconsistency with last year); ")))</f>
        <v/>
      </c>
      <c r="AR32" t="str">
        <f>IF(OR(H32="",H32="y",H32="n"),"",IF(F32=VLOOKUP(H32,LastYrList!A:G,6,FALSE),"","Check Gender (Inconsistent with last year); "))</f>
        <v/>
      </c>
      <c r="AS32" t="str">
        <f t="shared" si="10"/>
        <v/>
      </c>
      <c r="AT32" t="str">
        <f t="shared" si="11"/>
        <v/>
      </c>
      <c r="AU32" t="str">
        <f t="shared" si="12"/>
        <v/>
      </c>
      <c r="AV32" t="str">
        <f t="shared" si="13"/>
        <v/>
      </c>
      <c r="AW32" t="str">
        <f t="shared" si="14"/>
        <v/>
      </c>
      <c r="AX32" t="str">
        <f t="shared" si="15"/>
        <v/>
      </c>
      <c r="AY32" t="str">
        <f t="shared" si="27"/>
        <v/>
      </c>
      <c r="AZ32" t="str">
        <f t="shared" si="16"/>
        <v/>
      </c>
      <c r="BA32" t="str">
        <f t="shared" si="17"/>
        <v/>
      </c>
      <c r="BB32" t="str">
        <f t="shared" si="18"/>
        <v/>
      </c>
      <c r="BC32" t="str">
        <f t="shared" si="19"/>
        <v/>
      </c>
      <c r="BE32" s="347" t="str">
        <f t="shared" si="20"/>
        <v/>
      </c>
      <c r="BF32" s="347">
        <f t="shared" si="21"/>
        <v>0</v>
      </c>
      <c r="BG32" s="346" t="str">
        <f t="shared" si="28"/>
        <v/>
      </c>
      <c r="BH32" s="346" t="str">
        <f t="shared" si="22"/>
        <v/>
      </c>
      <c r="BI32" s="206" t="str">
        <f>IF(ISNA(VLOOKUP(CONCATENATE('Entrant Data'!E19," ",'Entrant Data'!F19),LastYrList!$H:$J,2,FALSE)),"",IF(AND(OR(T(H32)&lt;&gt;"",H32=0),E32=VLOOKUP(CONCATENATE('Entrant Data'!E19," ",'Entrant Data'!F19),LastYrList!$H:$J,3,FALSE)),CONCATENATE('Entrant Data'!E19," ",'Entrant Data'!F19," was No. ",(VLOOKUP(CONCATENATE('Entrant Data'!E19," ",'Entrant Data'!F19),LastYrList!$H:$J,2,FALSE))," last year. "),""))</f>
        <v/>
      </c>
      <c r="BJ32" s="186" t="str">
        <f t="shared" si="23"/>
        <v/>
      </c>
    </row>
    <row r="33" spans="1:64" ht="13.5" x14ac:dyDescent="0.25">
      <c r="A33" s="259">
        <v>33</v>
      </c>
      <c r="B33" s="411">
        <v>17</v>
      </c>
      <c r="C33" s="60"/>
      <c r="D33" s="61"/>
      <c r="E33" s="62"/>
      <c r="F33" s="103"/>
      <c r="G33" s="63"/>
      <c r="H33" s="105"/>
      <c r="I33" s="105"/>
      <c r="J33" s="59"/>
      <c r="K33" s="407"/>
      <c r="L33" s="59"/>
      <c r="M33" s="59"/>
      <c r="N33" s="59"/>
      <c r="O33" s="59"/>
      <c r="P33" s="59"/>
      <c r="Q33" s="59"/>
      <c r="R33" s="59"/>
      <c r="S33" s="103"/>
      <c r="T33" s="59"/>
      <c r="U33" s="105"/>
      <c r="V33" s="405"/>
      <c r="W33" s="405"/>
      <c r="X33" s="59"/>
      <c r="Y33" s="109"/>
      <c r="Z33" s="431">
        <f t="shared" si="0"/>
        <v>0</v>
      </c>
      <c r="AA33" s="37" t="str">
        <f t="shared" si="30"/>
        <v/>
      </c>
      <c r="AB33" s="205" t="s">
        <v>265</v>
      </c>
      <c r="AC33" t="str">
        <f t="shared" si="2"/>
        <v>No Entrant</v>
      </c>
      <c r="AD33" s="27" t="str">
        <f t="shared" si="3"/>
        <v/>
      </c>
      <c r="AE33" s="211" t="str">
        <f t="shared" si="4"/>
        <v/>
      </c>
      <c r="AF33" s="211" t="str">
        <f t="shared" si="5"/>
        <v/>
      </c>
      <c r="AG33" s="27"/>
      <c r="AH33" s="27"/>
      <c r="AI33" s="211" t="str">
        <f t="shared" si="7"/>
        <v/>
      </c>
      <c r="AJ33" s="27"/>
      <c r="AK33" s="27"/>
      <c r="AL33" t="str">
        <f t="shared" si="9"/>
        <v/>
      </c>
      <c r="AM33" t="str">
        <f>IF(OR(H33="",H33="N",H33="Y"),"",IF(VLOOKUP(H33,LastYrList!A:D,2,FALSE)="Did Not Shoot","!!",IF(OR(VLOOKUP(H33,LastYrList!A:D,2,FALSE)&lt;&gt;'Entrant Data'!E20,VLOOKUP(H33,LastYrList!A:D,3,FALSE)&lt;&gt;'Entrant Data'!F20),CONCATENATE("Last yr entrant ",H33," was ",VLOOKUP(H33,LastYrList!A:D,2,FALSE)," ",VLOOKUP(H33,LastYrList!A:D,3,FALSE)," of ",VLOOKUP(H33,LastYrList!A:D,4,FALSE),". Check spelling etc. &amp; Proceed only if same person!"),"")))</f>
        <v/>
      </c>
      <c r="AN33" t="str">
        <f t="shared" si="29"/>
        <v/>
      </c>
      <c r="AO33" t="str">
        <f t="shared" si="26"/>
        <v/>
      </c>
      <c r="AP33" t="str">
        <f>IF(OR(H33="y",H33="n",H33="",AM33&lt;&gt;""),"",IF(E33=VLOOKUP(H33,LastYrList!A:G,7,FALSE),"",IF(VLOOKUP(H33,LastYrList!A:G,7,FALSE)="","","Check Date of Birth (Inconsistent with last year); ")))</f>
        <v/>
      </c>
      <c r="AQ33" t="str">
        <f>IF(OR(H33="",(ISERR(VALUE(H33)))),"",IF(G33=VLOOKUP(H33,LastYrList!A:G,5,FALSE),"",IF(VLOOKUP(H33,LastYrList!A:G,5,FALSE)="","","Check Member &amp; Last year Comp No. (Inconsistency with last year); ")))</f>
        <v/>
      </c>
      <c r="AR33" t="str">
        <f>IF(OR(H33="",H33="y",H33="n"),"",IF(F33=VLOOKUP(H33,LastYrList!A:G,6,FALSE),"","Check Gender (Inconsistent with last year); "))</f>
        <v/>
      </c>
      <c r="AS33" t="str">
        <f t="shared" si="10"/>
        <v/>
      </c>
      <c r="AT33" t="str">
        <f t="shared" si="11"/>
        <v/>
      </c>
      <c r="AU33" t="str">
        <f t="shared" si="12"/>
        <v/>
      </c>
      <c r="AV33" t="str">
        <f t="shared" si="13"/>
        <v/>
      </c>
      <c r="AW33" t="str">
        <f t="shared" si="14"/>
        <v/>
      </c>
      <c r="AX33" t="str">
        <f t="shared" si="15"/>
        <v/>
      </c>
      <c r="AY33" t="str">
        <f t="shared" si="27"/>
        <v/>
      </c>
      <c r="AZ33" t="str">
        <f t="shared" si="16"/>
        <v/>
      </c>
      <c r="BA33" t="str">
        <f t="shared" si="17"/>
        <v/>
      </c>
      <c r="BB33" t="str">
        <f t="shared" si="18"/>
        <v/>
      </c>
      <c r="BC33" t="str">
        <f t="shared" si="19"/>
        <v/>
      </c>
      <c r="BE33" s="347" t="str">
        <f t="shared" si="20"/>
        <v/>
      </c>
      <c r="BF33" s="347">
        <f t="shared" si="21"/>
        <v>0</v>
      </c>
      <c r="BG33" s="346" t="str">
        <f t="shared" si="28"/>
        <v/>
      </c>
      <c r="BH33" s="346" t="str">
        <f t="shared" si="22"/>
        <v/>
      </c>
      <c r="BI33" s="206" t="str">
        <f>IF(ISNA(VLOOKUP(CONCATENATE('Entrant Data'!E20," ",'Entrant Data'!F20),LastYrList!$H:$J,2,FALSE)),"",IF(AND(OR(T(H33)&lt;&gt;"",H33=0),E33=VLOOKUP(CONCATENATE('Entrant Data'!E20," ",'Entrant Data'!F20),LastYrList!$H:$J,3,FALSE)),CONCATENATE('Entrant Data'!E20," ",'Entrant Data'!F20," was No. ",(VLOOKUP(CONCATENATE('Entrant Data'!E20," ",'Entrant Data'!F20),LastYrList!$H:$J,2,FALSE))," last year. "),""))</f>
        <v/>
      </c>
      <c r="BJ33" s="186" t="str">
        <f t="shared" si="23"/>
        <v/>
      </c>
    </row>
    <row r="34" spans="1:64" ht="13.5" x14ac:dyDescent="0.25">
      <c r="A34" s="259">
        <v>34</v>
      </c>
      <c r="B34" s="411">
        <v>18</v>
      </c>
      <c r="C34" s="60"/>
      <c r="D34" s="61"/>
      <c r="E34" s="62"/>
      <c r="F34" s="103"/>
      <c r="G34" s="63"/>
      <c r="H34" s="105"/>
      <c r="I34" s="105"/>
      <c r="J34" s="59"/>
      <c r="K34" s="407"/>
      <c r="L34" s="59"/>
      <c r="M34" s="59"/>
      <c r="N34" s="59"/>
      <c r="O34" s="59"/>
      <c r="P34" s="59"/>
      <c r="Q34" s="59"/>
      <c r="R34" s="59"/>
      <c r="S34" s="103"/>
      <c r="T34" s="59"/>
      <c r="U34" s="105"/>
      <c r="V34" s="405"/>
      <c r="W34" s="405"/>
      <c r="X34" s="59"/>
      <c r="Y34" s="109"/>
      <c r="Z34" s="431">
        <f t="shared" si="0"/>
        <v>0</v>
      </c>
      <c r="AA34" s="37" t="str">
        <f t="shared" si="30"/>
        <v/>
      </c>
      <c r="AB34" s="205" t="s">
        <v>264</v>
      </c>
      <c r="AC34" t="str">
        <f t="shared" si="2"/>
        <v>No Entrant</v>
      </c>
      <c r="AD34" s="27" t="str">
        <f t="shared" si="3"/>
        <v/>
      </c>
      <c r="AE34" s="211" t="str">
        <f t="shared" si="4"/>
        <v/>
      </c>
      <c r="AF34" s="211" t="str">
        <f t="shared" si="5"/>
        <v/>
      </c>
      <c r="AG34" s="27"/>
      <c r="AH34" s="27"/>
      <c r="AI34" s="211" t="str">
        <f t="shared" si="7"/>
        <v/>
      </c>
      <c r="AJ34" s="27"/>
      <c r="AK34" s="27"/>
      <c r="AL34" t="str">
        <f t="shared" si="9"/>
        <v/>
      </c>
      <c r="AM34" t="str">
        <f>IF(OR(H34="",H34="N",H34="Y"),"",IF(VLOOKUP(H34,LastYrList!A:D,2,FALSE)="Did Not Shoot","!!",IF(OR(VLOOKUP(H34,LastYrList!A:D,2,FALSE)&lt;&gt;'Entrant Data'!E21,VLOOKUP(H34,LastYrList!A:D,3,FALSE)&lt;&gt;'Entrant Data'!F21),CONCATENATE("Last yr entrant ",H34," was ",VLOOKUP(H34,LastYrList!A:D,2,FALSE)," ",VLOOKUP(H34,LastYrList!A:D,3,FALSE)," of ",VLOOKUP(H34,LastYrList!A:D,4,FALSE),". Check spelling etc. &amp; Proceed only if same person!"),"")))</f>
        <v/>
      </c>
      <c r="AN34" t="str">
        <f t="shared" si="29"/>
        <v/>
      </c>
      <c r="AO34" t="str">
        <f t="shared" si="26"/>
        <v/>
      </c>
      <c r="AP34" t="str">
        <f>IF(OR(H34="y",H34="n",H34="",AM34&lt;&gt;""),"",IF(E34=VLOOKUP(H34,LastYrList!A:G,7,FALSE),"",IF(VLOOKUP(H34,LastYrList!A:G,7,FALSE)="","","Check Date of Birth (Inconsistent with last year); ")))</f>
        <v/>
      </c>
      <c r="AQ34" t="str">
        <f>IF(OR(H34="",(ISERR(VALUE(H34)))),"",IF(G34=VLOOKUP(H34,LastYrList!A:G,5,FALSE),"",IF(VLOOKUP(H34,LastYrList!A:G,5,FALSE)="","","Check Member &amp; Last year Comp No. (Inconsistency with last year); ")))</f>
        <v/>
      </c>
      <c r="AR34" t="str">
        <f>IF(OR(H34="",H34="y",H34="n"),"",IF(F34=VLOOKUP(H34,LastYrList!A:G,6,FALSE),"","Check Gender (Inconsistent with last year); "))</f>
        <v/>
      </c>
      <c r="AS34" t="str">
        <f t="shared" si="10"/>
        <v/>
      </c>
      <c r="AT34" t="str">
        <f t="shared" si="11"/>
        <v/>
      </c>
      <c r="AU34" t="str">
        <f t="shared" si="12"/>
        <v/>
      </c>
      <c r="AV34" t="str">
        <f t="shared" si="13"/>
        <v/>
      </c>
      <c r="AW34" t="str">
        <f t="shared" si="14"/>
        <v/>
      </c>
      <c r="AX34" t="str">
        <f t="shared" si="15"/>
        <v/>
      </c>
      <c r="AY34" t="str">
        <f t="shared" si="27"/>
        <v/>
      </c>
      <c r="AZ34" t="str">
        <f t="shared" si="16"/>
        <v/>
      </c>
      <c r="BA34" t="str">
        <f t="shared" si="17"/>
        <v/>
      </c>
      <c r="BB34" t="str">
        <f t="shared" si="18"/>
        <v/>
      </c>
      <c r="BC34" t="str">
        <f t="shared" si="19"/>
        <v/>
      </c>
      <c r="BE34" s="347" t="str">
        <f t="shared" si="20"/>
        <v/>
      </c>
      <c r="BF34" s="347">
        <f t="shared" si="21"/>
        <v>0</v>
      </c>
      <c r="BG34" s="346" t="str">
        <f t="shared" si="28"/>
        <v/>
      </c>
      <c r="BH34" s="346" t="str">
        <f t="shared" si="22"/>
        <v/>
      </c>
      <c r="BI34" s="206" t="str">
        <f>IF(ISNA(VLOOKUP(CONCATENATE('Entrant Data'!E21," ",'Entrant Data'!F21),LastYrList!$H:$J,2,FALSE)),"",IF(AND(OR(T(H34)&lt;&gt;"",H34=0),E34=VLOOKUP(CONCATENATE('Entrant Data'!E21," ",'Entrant Data'!F21),LastYrList!$H:$J,3,FALSE)),CONCATENATE('Entrant Data'!E21," ",'Entrant Data'!F21," was No. ",(VLOOKUP(CONCATENATE('Entrant Data'!E21," ",'Entrant Data'!F21),LastYrList!$H:$J,2,FALSE))," last year. "),""))</f>
        <v/>
      </c>
      <c r="BJ34" s="186" t="str">
        <f t="shared" si="23"/>
        <v/>
      </c>
    </row>
    <row r="35" spans="1:64" ht="13.5" x14ac:dyDescent="0.25">
      <c r="A35" s="259">
        <v>35</v>
      </c>
      <c r="B35" s="411">
        <v>19</v>
      </c>
      <c r="C35" s="60"/>
      <c r="D35" s="61"/>
      <c r="E35" s="62"/>
      <c r="F35" s="103"/>
      <c r="G35" s="63"/>
      <c r="H35" s="105"/>
      <c r="I35" s="105"/>
      <c r="J35" s="59"/>
      <c r="K35" s="407"/>
      <c r="L35" s="59"/>
      <c r="M35" s="59"/>
      <c r="N35" s="59"/>
      <c r="O35" s="59"/>
      <c r="P35" s="59"/>
      <c r="Q35" s="59"/>
      <c r="R35" s="59"/>
      <c r="S35" s="103"/>
      <c r="T35" s="59"/>
      <c r="U35" s="105"/>
      <c r="V35" s="405"/>
      <c r="W35" s="405"/>
      <c r="X35" s="59"/>
      <c r="Y35" s="109"/>
      <c r="Z35" s="431">
        <f t="shared" si="0"/>
        <v>0</v>
      </c>
      <c r="AA35" s="37" t="str">
        <f t="shared" si="30"/>
        <v/>
      </c>
      <c r="AB35" s="205" t="s">
        <v>263</v>
      </c>
      <c r="AC35" t="str">
        <f t="shared" si="2"/>
        <v>No Entrant</v>
      </c>
      <c r="AD35" s="27" t="str">
        <f t="shared" si="3"/>
        <v/>
      </c>
      <c r="AE35" s="211" t="str">
        <f t="shared" si="4"/>
        <v/>
      </c>
      <c r="AF35" s="211" t="str">
        <f t="shared" si="5"/>
        <v/>
      </c>
      <c r="AG35" s="27"/>
      <c r="AH35" s="27"/>
      <c r="AI35" s="211" t="str">
        <f t="shared" si="7"/>
        <v/>
      </c>
      <c r="AJ35" s="27"/>
      <c r="AK35" s="27"/>
      <c r="AL35" t="str">
        <f t="shared" si="9"/>
        <v/>
      </c>
      <c r="AM35" t="str">
        <f>IF(OR(H35="",H35="N",H35="Y"),"",IF(VLOOKUP(H35,LastYrList!A:D,2,FALSE)="Did Not Shoot","!!",IF(OR(VLOOKUP(H35,LastYrList!A:D,2,FALSE)&lt;&gt;'Entrant Data'!E22,VLOOKUP(H35,LastYrList!A:D,3,FALSE)&lt;&gt;'Entrant Data'!F22),CONCATENATE("Last yr entrant ",H35," was ",VLOOKUP(H35,LastYrList!A:D,2,FALSE)," ",VLOOKUP(H35,LastYrList!A:D,3,FALSE)," of ",VLOOKUP(H35,LastYrList!A:D,4,FALSE),". Check spelling etc. &amp; Proceed only if same person!"),"")))</f>
        <v/>
      </c>
      <c r="AN35" t="str">
        <f t="shared" si="29"/>
        <v/>
      </c>
      <c r="AO35" t="str">
        <f t="shared" si="26"/>
        <v/>
      </c>
      <c r="AP35" t="str">
        <f>IF(OR(H35="y",H35="n",H35="",AM35&lt;&gt;""),"",IF(E35=VLOOKUP(H35,LastYrList!A:G,7,FALSE),"",IF(VLOOKUP(H35,LastYrList!A:G,7,FALSE)="","","Check Date of Birth (Inconsistent with last year); ")))</f>
        <v/>
      </c>
      <c r="AQ35" t="str">
        <f>IF(OR(H35="",(ISERR(VALUE(H35)))),"",IF(G35=VLOOKUP(H35,LastYrList!A:G,5,FALSE),"",IF(VLOOKUP(H35,LastYrList!A:G,5,FALSE)="","","Check Member &amp; Last year Comp No. (Inconsistency with last year); ")))</f>
        <v/>
      </c>
      <c r="AR35" t="str">
        <f>IF(OR(H35="",H35="y",H35="n"),"",IF(F35=VLOOKUP(H35,LastYrList!A:G,6,FALSE),"","Check Gender (Inconsistent with last year); "))</f>
        <v/>
      </c>
      <c r="AS35" t="str">
        <f t="shared" si="10"/>
        <v/>
      </c>
      <c r="AT35" t="str">
        <f t="shared" si="11"/>
        <v/>
      </c>
      <c r="AU35" t="str">
        <f t="shared" si="12"/>
        <v/>
      </c>
      <c r="AV35" t="str">
        <f t="shared" si="13"/>
        <v/>
      </c>
      <c r="AW35" t="str">
        <f t="shared" si="14"/>
        <v/>
      </c>
      <c r="AX35" t="str">
        <f t="shared" si="15"/>
        <v/>
      </c>
      <c r="AY35" t="str">
        <f t="shared" si="27"/>
        <v/>
      </c>
      <c r="AZ35" t="str">
        <f t="shared" si="16"/>
        <v/>
      </c>
      <c r="BA35" t="str">
        <f t="shared" si="17"/>
        <v/>
      </c>
      <c r="BB35" t="str">
        <f t="shared" si="18"/>
        <v/>
      </c>
      <c r="BC35" t="str">
        <f t="shared" si="19"/>
        <v/>
      </c>
      <c r="BE35" s="347" t="str">
        <f t="shared" si="20"/>
        <v/>
      </c>
      <c r="BF35" s="347">
        <f t="shared" si="21"/>
        <v>0</v>
      </c>
      <c r="BG35" s="346" t="str">
        <f t="shared" si="28"/>
        <v/>
      </c>
      <c r="BH35" s="346" t="str">
        <f t="shared" si="22"/>
        <v/>
      </c>
      <c r="BI35" s="206" t="str">
        <f>IF(ISNA(VLOOKUP(CONCATENATE('Entrant Data'!E22," ",'Entrant Data'!F22),LastYrList!$H:$J,2,FALSE)),"",IF(AND(OR(T(H35)&lt;&gt;"",H35=0),E35=VLOOKUP(CONCATENATE('Entrant Data'!E22," ",'Entrant Data'!F22),LastYrList!$H:$J,3,FALSE)),CONCATENATE('Entrant Data'!E22," ",'Entrant Data'!F22," was No. ",(VLOOKUP(CONCATENATE('Entrant Data'!E22," ",'Entrant Data'!F22),LastYrList!$H:$J,2,FALSE))," last year. "),""))</f>
        <v/>
      </c>
      <c r="BJ35" s="186" t="str">
        <f t="shared" si="23"/>
        <v/>
      </c>
    </row>
    <row r="36" spans="1:64" ht="13.5" x14ac:dyDescent="0.25">
      <c r="A36" s="259">
        <v>36</v>
      </c>
      <c r="B36" s="411">
        <v>20</v>
      </c>
      <c r="C36" s="60"/>
      <c r="D36" s="61"/>
      <c r="E36" s="62"/>
      <c r="F36" s="103"/>
      <c r="G36" s="63"/>
      <c r="H36" s="105"/>
      <c r="I36" s="105"/>
      <c r="J36" s="59"/>
      <c r="K36" s="407"/>
      <c r="L36" s="59"/>
      <c r="M36" s="59"/>
      <c r="N36" s="59"/>
      <c r="O36" s="59"/>
      <c r="P36" s="59"/>
      <c r="Q36" s="59"/>
      <c r="R36" s="59"/>
      <c r="S36" s="103"/>
      <c r="T36" s="59"/>
      <c r="U36" s="105"/>
      <c r="V36" s="405"/>
      <c r="W36" s="405"/>
      <c r="X36" s="59"/>
      <c r="Y36" s="109"/>
      <c r="Z36" s="431">
        <f t="shared" si="0"/>
        <v>0</v>
      </c>
      <c r="AA36" s="37" t="str">
        <f t="shared" si="30"/>
        <v/>
      </c>
      <c r="AB36" s="205" t="s">
        <v>262</v>
      </c>
      <c r="AC36" t="str">
        <f t="shared" si="2"/>
        <v>No Entrant</v>
      </c>
      <c r="AD36" s="27" t="str">
        <f t="shared" si="3"/>
        <v/>
      </c>
      <c r="AE36" s="211" t="str">
        <f t="shared" si="4"/>
        <v/>
      </c>
      <c r="AF36" s="211" t="str">
        <f t="shared" si="5"/>
        <v/>
      </c>
      <c r="AG36" s="27"/>
      <c r="AH36" s="27"/>
      <c r="AI36" s="211" t="str">
        <f t="shared" si="7"/>
        <v/>
      </c>
      <c r="AJ36" s="27"/>
      <c r="AK36" s="27"/>
      <c r="AL36" t="str">
        <f t="shared" si="9"/>
        <v/>
      </c>
      <c r="AM36" t="str">
        <f>IF(OR(H36="",H36="N",H36="Y"),"",IF(VLOOKUP(H36,LastYrList!A:D,2,FALSE)="Did Not Shoot","!!",IF(OR(VLOOKUP(H36,LastYrList!A:D,2,FALSE)&lt;&gt;'Entrant Data'!E23,VLOOKUP(H36,LastYrList!A:D,3,FALSE)&lt;&gt;'Entrant Data'!F23),CONCATENATE("Last yr entrant ",H36," was ",VLOOKUP(H36,LastYrList!A:D,2,FALSE)," ",VLOOKUP(H36,LastYrList!A:D,3,FALSE)," of ",VLOOKUP(H36,LastYrList!A:D,4,FALSE),". Check spelling etc. &amp; Proceed only if same person!"),"")))</f>
        <v/>
      </c>
      <c r="AN36" t="str">
        <f t="shared" si="29"/>
        <v/>
      </c>
      <c r="AO36" t="str">
        <f t="shared" si="26"/>
        <v/>
      </c>
      <c r="AP36" t="str">
        <f>IF(OR(H36="y",H36="n",H36="",AM36&lt;&gt;""),"",IF(E36=VLOOKUP(H36,LastYrList!A:G,7,FALSE),"",IF(VLOOKUP(H36,LastYrList!A:G,7,FALSE)="","","Check Date of Birth (Inconsistent with last year); ")))</f>
        <v/>
      </c>
      <c r="AQ36" t="str">
        <f>IF(OR(H36="",(ISERR(VALUE(H36)))),"",IF(G36=VLOOKUP(H36,LastYrList!A:G,5,FALSE),"",IF(VLOOKUP(H36,LastYrList!A:G,5,FALSE)="","","Check Member &amp; Last year Comp No. (Inconsistency with last year); ")))</f>
        <v/>
      </c>
      <c r="AR36" t="str">
        <f>IF(OR(H36="",H36="y",H36="n"),"",IF(F36=VLOOKUP(H36,LastYrList!A:G,6,FALSE),"","Check Gender (Inconsistent with last year); "))</f>
        <v/>
      </c>
      <c r="AS36" t="str">
        <f t="shared" si="10"/>
        <v/>
      </c>
      <c r="AT36" t="str">
        <f t="shared" si="11"/>
        <v/>
      </c>
      <c r="AU36" t="str">
        <f t="shared" si="12"/>
        <v/>
      </c>
      <c r="AV36" t="str">
        <f t="shared" si="13"/>
        <v/>
      </c>
      <c r="AW36" t="str">
        <f t="shared" si="14"/>
        <v/>
      </c>
      <c r="AX36" t="str">
        <f t="shared" si="15"/>
        <v/>
      </c>
      <c r="AY36" t="str">
        <f t="shared" si="27"/>
        <v/>
      </c>
      <c r="AZ36" t="str">
        <f t="shared" si="16"/>
        <v/>
      </c>
      <c r="BA36" t="str">
        <f t="shared" si="17"/>
        <v/>
      </c>
      <c r="BB36" t="str">
        <f t="shared" si="18"/>
        <v/>
      </c>
      <c r="BC36" t="str">
        <f t="shared" si="19"/>
        <v/>
      </c>
      <c r="BE36" s="347" t="str">
        <f t="shared" si="20"/>
        <v/>
      </c>
      <c r="BF36" s="347">
        <f t="shared" si="21"/>
        <v>0</v>
      </c>
      <c r="BG36" s="346" t="str">
        <f t="shared" si="28"/>
        <v/>
      </c>
      <c r="BH36" s="346" t="str">
        <f t="shared" si="22"/>
        <v/>
      </c>
      <c r="BI36" s="206" t="str">
        <f>IF(ISNA(VLOOKUP(CONCATENATE('Entrant Data'!E23," ",'Entrant Data'!F23),LastYrList!$H:$J,2,FALSE)),"",IF(AND(OR(T(H36)&lt;&gt;"",H36=0),E36=VLOOKUP(CONCATENATE('Entrant Data'!E23," ",'Entrant Data'!F23),LastYrList!$H:$J,3,FALSE)),CONCATENATE('Entrant Data'!E23," ",'Entrant Data'!F23," was No. ",(VLOOKUP(CONCATENATE('Entrant Data'!E23," ",'Entrant Data'!F23),LastYrList!$H:$J,2,FALSE))," last year. "),""))</f>
        <v/>
      </c>
      <c r="BJ36" s="186" t="str">
        <f t="shared" si="23"/>
        <v/>
      </c>
    </row>
    <row r="37" spans="1:64" ht="13.5" x14ac:dyDescent="0.25">
      <c r="A37" s="259">
        <v>37</v>
      </c>
      <c r="B37" s="411">
        <v>21</v>
      </c>
      <c r="C37" s="60"/>
      <c r="D37" s="61"/>
      <c r="E37" s="62"/>
      <c r="F37" s="103"/>
      <c r="G37" s="63"/>
      <c r="H37" s="105"/>
      <c r="I37" s="105"/>
      <c r="J37" s="59"/>
      <c r="K37" s="407"/>
      <c r="L37" s="59"/>
      <c r="M37" s="59"/>
      <c r="N37" s="59"/>
      <c r="O37" s="59"/>
      <c r="P37" s="59"/>
      <c r="Q37" s="59"/>
      <c r="R37" s="59"/>
      <c r="S37" s="103"/>
      <c r="T37" s="59"/>
      <c r="U37" s="105"/>
      <c r="V37" s="405"/>
      <c r="W37" s="405"/>
      <c r="X37" s="59"/>
      <c r="Y37" s="109"/>
      <c r="Z37" s="431">
        <f t="shared" si="0"/>
        <v>0</v>
      </c>
      <c r="AA37" s="37" t="str">
        <f t="shared" si="30"/>
        <v/>
      </c>
      <c r="AB37" s="205" t="s">
        <v>261</v>
      </c>
      <c r="AC37" t="str">
        <f t="shared" si="2"/>
        <v>No Entrant</v>
      </c>
      <c r="AD37" s="27" t="str">
        <f>IF(AC37=AD$16,CONCATENATE(AC37,"; "),"")</f>
        <v/>
      </c>
      <c r="AE37" s="211" t="str">
        <f t="shared" si="4"/>
        <v/>
      </c>
      <c r="AF37" s="211" t="str">
        <f t="shared" si="5"/>
        <v/>
      </c>
      <c r="AG37" s="27"/>
      <c r="AH37" s="27"/>
      <c r="AI37" s="211" t="str">
        <f t="shared" si="7"/>
        <v/>
      </c>
      <c r="AJ37" s="27"/>
      <c r="AK37" s="27"/>
      <c r="AL37" t="str">
        <f t="shared" si="9"/>
        <v/>
      </c>
      <c r="AM37" t="str">
        <f>IF(OR(H37="",H37="N",H37="Y"),"",IF(VLOOKUP(H37,LastYrList!A:D,2,FALSE)="Did Not Shoot","!!",IF(OR(VLOOKUP(H37,LastYrList!A:D,2,FALSE)&lt;&gt;'Entrant Data'!E24,VLOOKUP(H37,LastYrList!A:D,3,FALSE)&lt;&gt;'Entrant Data'!F24),CONCATENATE("Last yr entrant ",H37," was ",VLOOKUP(H37,LastYrList!A:D,2,FALSE)," ",VLOOKUP(H37,LastYrList!A:D,3,FALSE)," of ",VLOOKUP(H37,LastYrList!A:D,4,FALSE),". Check spelling etc. &amp; Proceed only if same person!"),"")))</f>
        <v/>
      </c>
      <c r="AN37" t="str">
        <f t="shared" si="29"/>
        <v/>
      </c>
      <c r="AO37" t="str">
        <f t="shared" si="26"/>
        <v/>
      </c>
      <c r="AP37" t="str">
        <f>IF(OR(H37="y",H37="n",H37="",AM37&lt;&gt;""),"",IF(E37=VLOOKUP(H37,LastYrList!A:G,7,FALSE),"",IF(VLOOKUP(H37,LastYrList!A:G,7,FALSE)="","","Check Date of Birth (Inconsistent with last year); ")))</f>
        <v/>
      </c>
      <c r="AQ37" t="str">
        <f>IF(OR(H37="",(ISERR(VALUE(H37)))),"",IF(G37=VLOOKUP(H37,LastYrList!A:G,5,FALSE),"",IF(VLOOKUP(H37,LastYrList!A:G,5,FALSE)="","","Check Member &amp; Last year Comp No. (Inconsistency with last year); ")))</f>
        <v/>
      </c>
      <c r="AR37" t="str">
        <f>IF(OR(H37="",H37="y",H37="n"),"",IF(F37=VLOOKUP(H37,LastYrList!A:G,6,FALSE),"","Check Gender (Inconsistent with last year); "))</f>
        <v/>
      </c>
      <c r="AS37" t="str">
        <f t="shared" si="10"/>
        <v/>
      </c>
      <c r="AT37" t="str">
        <f t="shared" si="11"/>
        <v/>
      </c>
      <c r="AU37" t="str">
        <f t="shared" si="12"/>
        <v/>
      </c>
      <c r="AV37" t="str">
        <f t="shared" si="13"/>
        <v/>
      </c>
      <c r="AW37" t="str">
        <f t="shared" si="14"/>
        <v/>
      </c>
      <c r="AX37" t="str">
        <f t="shared" si="15"/>
        <v/>
      </c>
      <c r="AY37" t="str">
        <f t="shared" si="27"/>
        <v/>
      </c>
      <c r="AZ37" t="str">
        <f t="shared" si="16"/>
        <v/>
      </c>
      <c r="BA37" t="str">
        <f t="shared" si="17"/>
        <v/>
      </c>
      <c r="BB37" t="str">
        <f t="shared" si="18"/>
        <v/>
      </c>
      <c r="BC37" t="str">
        <f t="shared" si="19"/>
        <v/>
      </c>
      <c r="BE37" s="347" t="str">
        <f t="shared" si="20"/>
        <v/>
      </c>
      <c r="BF37" s="347">
        <f t="shared" si="21"/>
        <v>0</v>
      </c>
      <c r="BG37" s="346" t="str">
        <f t="shared" si="28"/>
        <v/>
      </c>
      <c r="BH37" s="346" t="str">
        <f t="shared" si="22"/>
        <v/>
      </c>
      <c r="BI37" s="206" t="str">
        <f>IF(ISNA(VLOOKUP(CONCATENATE('Entrant Data'!E24," ",'Entrant Data'!F24),LastYrList!$H:$J,2,FALSE)),"",IF(AND(OR(T(H37)&lt;&gt;"",H37=0),E37=VLOOKUP(CONCATENATE('Entrant Data'!E24," ",'Entrant Data'!F24),LastYrList!$H:$J,3,FALSE)),CONCATENATE('Entrant Data'!E24," ",'Entrant Data'!F24," was No. ",(VLOOKUP(CONCATENATE('Entrant Data'!E24," ",'Entrant Data'!F24),LastYrList!$H:$J,2,FALSE))," last year. "),""))</f>
        <v/>
      </c>
      <c r="BJ37" s="186" t="str">
        <f t="shared" si="23"/>
        <v/>
      </c>
    </row>
    <row r="38" spans="1:64" ht="13.5" x14ac:dyDescent="0.25">
      <c r="A38" s="259">
        <v>38</v>
      </c>
      <c r="B38" s="411">
        <v>22</v>
      </c>
      <c r="C38" s="60"/>
      <c r="D38" s="61"/>
      <c r="E38" s="62"/>
      <c r="F38" s="103"/>
      <c r="G38" s="63"/>
      <c r="H38" s="105"/>
      <c r="I38" s="105"/>
      <c r="J38" s="59"/>
      <c r="K38" s="407"/>
      <c r="L38" s="59"/>
      <c r="M38" s="59"/>
      <c r="N38" s="59"/>
      <c r="O38" s="59"/>
      <c r="P38" s="59"/>
      <c r="Q38" s="59"/>
      <c r="R38" s="59"/>
      <c r="S38" s="103"/>
      <c r="T38" s="59"/>
      <c r="U38" s="105"/>
      <c r="V38" s="405"/>
      <c r="W38" s="405"/>
      <c r="X38" s="59"/>
      <c r="Y38" s="109"/>
      <c r="Z38" s="431">
        <f t="shared" si="0"/>
        <v>0</v>
      </c>
      <c r="AA38" s="37" t="str">
        <f t="shared" si="30"/>
        <v/>
      </c>
      <c r="AB38" s="205" t="s">
        <v>260</v>
      </c>
      <c r="AC38" t="str">
        <f t="shared" si="2"/>
        <v>No Entrant</v>
      </c>
      <c r="AD38" s="27" t="str">
        <f t="shared" ref="AD38:AD43" si="31">IF(AC38=AD$16,CONCATENATE(AC38,"; "),"")</f>
        <v/>
      </c>
      <c r="AE38" s="211" t="str">
        <f t="shared" si="4"/>
        <v/>
      </c>
      <c r="AF38" s="211" t="str">
        <f t="shared" si="5"/>
        <v/>
      </c>
      <c r="AG38" s="27"/>
      <c r="AH38" s="27"/>
      <c r="AI38" s="211" t="str">
        <f t="shared" si="7"/>
        <v/>
      </c>
      <c r="AJ38" s="27"/>
      <c r="AK38" s="27"/>
      <c r="AL38" t="str">
        <f t="shared" si="9"/>
        <v/>
      </c>
      <c r="AM38" t="str">
        <f>IF(OR(H38="",H38="N",H38="Y"),"",IF(VLOOKUP(H38,LastYrList!A:D,2,FALSE)="Did Not Shoot","!!",IF(OR(VLOOKUP(H38,LastYrList!A:D,2,FALSE)&lt;&gt;'Entrant Data'!E25,VLOOKUP(H38,LastYrList!A:D,3,FALSE)&lt;&gt;'Entrant Data'!F25),CONCATENATE("Last yr entrant ",H38," was ",VLOOKUP(H38,LastYrList!A:D,2,FALSE)," ",VLOOKUP(H38,LastYrList!A:D,3,FALSE)," of ",VLOOKUP(H38,LastYrList!A:D,4,FALSE),". Check spelling etc. &amp; Proceed only if same person!"),"")))</f>
        <v/>
      </c>
      <c r="AN38" t="str">
        <f t="shared" si="29"/>
        <v/>
      </c>
      <c r="AO38" t="str">
        <f t="shared" si="26"/>
        <v/>
      </c>
      <c r="AP38" t="str">
        <f>IF(OR(H38="y",H38="n",H38="",AM38&lt;&gt;""),"",IF(E38=VLOOKUP(H38,LastYrList!A:G,7,FALSE),"",IF(VLOOKUP(H38,LastYrList!A:G,7,FALSE)="","","Check Date of Birth (Inconsistent with last year); ")))</f>
        <v/>
      </c>
      <c r="AQ38" t="str">
        <f>IF(OR(H38="",(ISERR(VALUE(H38)))),"",IF(G38=VLOOKUP(H38,LastYrList!A:G,5,FALSE),"",IF(VLOOKUP(H38,LastYrList!A:G,5,FALSE)="","","Check Member &amp; Last year Comp No. (Inconsistency with last year); ")))</f>
        <v/>
      </c>
      <c r="AR38" t="str">
        <f>IF(OR(H38="",H38="y",H38="n"),"",IF(F38=VLOOKUP(H38,LastYrList!A:G,6,FALSE),"","Check Gender (Inconsistent with last year); "))</f>
        <v/>
      </c>
      <c r="AS38" t="str">
        <f t="shared" si="10"/>
        <v/>
      </c>
      <c r="AT38" t="str">
        <f t="shared" si="11"/>
        <v/>
      </c>
      <c r="AU38" t="str">
        <f t="shared" si="12"/>
        <v/>
      </c>
      <c r="AV38" t="str">
        <f t="shared" si="13"/>
        <v/>
      </c>
      <c r="AW38" t="str">
        <f t="shared" si="14"/>
        <v/>
      </c>
      <c r="AX38" t="str">
        <f t="shared" si="15"/>
        <v/>
      </c>
      <c r="AY38" t="str">
        <f t="shared" si="27"/>
        <v/>
      </c>
      <c r="AZ38" t="str">
        <f t="shared" si="16"/>
        <v/>
      </c>
      <c r="BA38" t="str">
        <f t="shared" si="17"/>
        <v/>
      </c>
      <c r="BB38" t="str">
        <f t="shared" si="18"/>
        <v/>
      </c>
      <c r="BC38" t="str">
        <f t="shared" si="19"/>
        <v/>
      </c>
      <c r="BE38" s="347" t="str">
        <f t="shared" si="20"/>
        <v/>
      </c>
      <c r="BF38" s="347">
        <f t="shared" si="21"/>
        <v>0</v>
      </c>
      <c r="BG38" s="346" t="str">
        <f t="shared" si="28"/>
        <v/>
      </c>
      <c r="BH38" s="346" t="str">
        <f t="shared" si="22"/>
        <v/>
      </c>
      <c r="BI38" s="206" t="str">
        <f>IF(ISNA(VLOOKUP(CONCATENATE('Entrant Data'!E25," ",'Entrant Data'!F25),LastYrList!$H:$J,2,FALSE)),"",IF(AND(OR(T(H38)&lt;&gt;"",H38=0),E38=VLOOKUP(CONCATENATE('Entrant Data'!E25," ",'Entrant Data'!F25),LastYrList!$H:$J,3,FALSE)),CONCATENATE('Entrant Data'!E25," ",'Entrant Data'!F25," was No. ",(VLOOKUP(CONCATENATE('Entrant Data'!E25," ",'Entrant Data'!F25),LastYrList!$H:$J,2,FALSE))," last year. "),""))</f>
        <v/>
      </c>
      <c r="BJ38" s="186" t="str">
        <f t="shared" si="23"/>
        <v/>
      </c>
    </row>
    <row r="39" spans="1:64" ht="13.5" x14ac:dyDescent="0.25">
      <c r="A39" s="259">
        <v>39</v>
      </c>
      <c r="B39" s="411">
        <v>23</v>
      </c>
      <c r="C39" s="60"/>
      <c r="D39" s="61"/>
      <c r="E39" s="62"/>
      <c r="F39" s="103"/>
      <c r="G39" s="63"/>
      <c r="H39" s="105"/>
      <c r="I39" s="105"/>
      <c r="J39" s="59"/>
      <c r="K39" s="407"/>
      <c r="L39" s="59"/>
      <c r="M39" s="59"/>
      <c r="N39" s="59"/>
      <c r="O39" s="59"/>
      <c r="P39" s="59"/>
      <c r="Q39" s="59"/>
      <c r="R39" s="59"/>
      <c r="S39" s="103"/>
      <c r="T39" s="59"/>
      <c r="U39" s="105"/>
      <c r="V39" s="405"/>
      <c r="W39" s="405"/>
      <c r="X39" s="59"/>
      <c r="Y39" s="109"/>
      <c r="Z39" s="431">
        <f t="shared" si="0"/>
        <v>0</v>
      </c>
      <c r="AA39" s="37" t="str">
        <f t="shared" si="30"/>
        <v/>
      </c>
      <c r="AB39" s="205" t="s">
        <v>259</v>
      </c>
      <c r="AC39" t="str">
        <f t="shared" si="2"/>
        <v>No Entrant</v>
      </c>
      <c r="AD39" s="27" t="str">
        <f t="shared" si="31"/>
        <v/>
      </c>
      <c r="AE39" s="211" t="str">
        <f t="shared" si="4"/>
        <v/>
      </c>
      <c r="AF39" s="211" t="str">
        <f t="shared" si="5"/>
        <v/>
      </c>
      <c r="AG39" s="27"/>
      <c r="AH39" s="27"/>
      <c r="AI39" s="211" t="str">
        <f t="shared" si="7"/>
        <v/>
      </c>
      <c r="AJ39" s="27"/>
      <c r="AK39" s="27"/>
      <c r="AL39" t="str">
        <f t="shared" si="9"/>
        <v/>
      </c>
      <c r="AM39" t="str">
        <f>IF(OR(H39="",H39="N",H39="Y"),"",IF(VLOOKUP(H39,LastYrList!A:D,2,FALSE)="Did Not Shoot","!!",IF(OR(VLOOKUP(H39,LastYrList!A:D,2,FALSE)&lt;&gt;'Entrant Data'!E26,VLOOKUP(H39,LastYrList!A:D,3,FALSE)&lt;&gt;'Entrant Data'!F26),CONCATENATE("Last yr entrant ",H39," was ",VLOOKUP(H39,LastYrList!A:D,2,FALSE)," ",VLOOKUP(H39,LastYrList!A:D,3,FALSE)," of ",VLOOKUP(H39,LastYrList!A:D,4,FALSE),". Check spelling etc. &amp; Proceed only if same person!"),"")))</f>
        <v/>
      </c>
      <c r="AN39" t="str">
        <f t="shared" si="29"/>
        <v/>
      </c>
      <c r="AO39" t="str">
        <f t="shared" si="26"/>
        <v/>
      </c>
      <c r="AP39" t="str">
        <f>IF(OR(H39="y",H39="n",H39="",AM39&lt;&gt;""),"",IF(E39=VLOOKUP(H39,LastYrList!A:G,7,FALSE),"",IF(VLOOKUP(H39,LastYrList!A:G,7,FALSE)="","","Check Date of Birth (Inconsistent with last year); ")))</f>
        <v/>
      </c>
      <c r="AQ39" t="str">
        <f>IF(OR(H39="",(ISERR(VALUE(H39)))),"",IF(G39=VLOOKUP(H39,LastYrList!A:G,5,FALSE),"",IF(VLOOKUP(H39,LastYrList!A:G,5,FALSE)="","","Check Member &amp; Last year Comp No. (Inconsistency with last year); ")))</f>
        <v/>
      </c>
      <c r="AR39" t="str">
        <f>IF(OR(H39="",H39="y",H39="n"),"",IF(F39=VLOOKUP(H39,LastYrList!A:G,6,FALSE),"","Check Gender (Inconsistent with last year); "))</f>
        <v/>
      </c>
      <c r="AS39" t="str">
        <f t="shared" si="10"/>
        <v/>
      </c>
      <c r="AT39" t="str">
        <f t="shared" si="11"/>
        <v/>
      </c>
      <c r="AU39" t="str">
        <f t="shared" si="12"/>
        <v/>
      </c>
      <c r="AV39" t="str">
        <f t="shared" si="13"/>
        <v/>
      </c>
      <c r="AW39" t="str">
        <f t="shared" si="14"/>
        <v/>
      </c>
      <c r="AX39" t="str">
        <f t="shared" si="15"/>
        <v/>
      </c>
      <c r="AY39" t="str">
        <f t="shared" si="27"/>
        <v/>
      </c>
      <c r="AZ39" t="str">
        <f t="shared" si="16"/>
        <v/>
      </c>
      <c r="BA39" t="str">
        <f t="shared" si="17"/>
        <v/>
      </c>
      <c r="BB39" t="str">
        <f t="shared" si="18"/>
        <v/>
      </c>
      <c r="BC39" t="str">
        <f t="shared" si="19"/>
        <v/>
      </c>
      <c r="BE39" s="347" t="str">
        <f t="shared" si="20"/>
        <v/>
      </c>
      <c r="BF39" s="347">
        <f t="shared" si="21"/>
        <v>0</v>
      </c>
      <c r="BG39" s="346" t="str">
        <f t="shared" si="28"/>
        <v/>
      </c>
      <c r="BH39" s="346" t="str">
        <f t="shared" si="22"/>
        <v/>
      </c>
      <c r="BI39" s="206" t="str">
        <f>IF(ISNA(VLOOKUP(CONCATENATE('Entrant Data'!E26," ",'Entrant Data'!F26),LastYrList!$H:$J,2,FALSE)),"",IF(AND(OR(T(H39)&lt;&gt;"",H39=0),E39=VLOOKUP(CONCATENATE('Entrant Data'!E26," ",'Entrant Data'!F26),LastYrList!$H:$J,3,FALSE)),CONCATENATE('Entrant Data'!E26," ",'Entrant Data'!F26," was No. ",(VLOOKUP(CONCATENATE('Entrant Data'!E26," ",'Entrant Data'!F26),LastYrList!$H:$J,2,FALSE))," last year. "),""))</f>
        <v/>
      </c>
      <c r="BJ39" s="186" t="str">
        <f t="shared" si="23"/>
        <v/>
      </c>
    </row>
    <row r="40" spans="1:64" ht="13.5" x14ac:dyDescent="0.25">
      <c r="A40" s="259">
        <v>40</v>
      </c>
      <c r="B40" s="411">
        <v>24</v>
      </c>
      <c r="C40" s="60"/>
      <c r="D40" s="61"/>
      <c r="E40" s="62"/>
      <c r="F40" s="103"/>
      <c r="G40" s="63"/>
      <c r="H40" s="105"/>
      <c r="I40" s="105"/>
      <c r="J40" s="59"/>
      <c r="K40" s="407"/>
      <c r="L40" s="59"/>
      <c r="M40" s="59"/>
      <c r="N40" s="59"/>
      <c r="O40" s="59"/>
      <c r="P40" s="59"/>
      <c r="Q40" s="59"/>
      <c r="R40" s="59"/>
      <c r="S40" s="103"/>
      <c r="T40" s="59"/>
      <c r="U40" s="105"/>
      <c r="V40" s="405"/>
      <c r="W40" s="405"/>
      <c r="X40" s="59"/>
      <c r="Y40" s="109"/>
      <c r="Z40" s="431">
        <f t="shared" si="0"/>
        <v>0</v>
      </c>
      <c r="AA40" s="37" t="str">
        <f t="shared" si="30"/>
        <v/>
      </c>
      <c r="AB40" s="205" t="s">
        <v>258</v>
      </c>
      <c r="AC40" t="str">
        <f t="shared" si="2"/>
        <v>No Entrant</v>
      </c>
      <c r="AD40" s="27" t="str">
        <f t="shared" si="31"/>
        <v/>
      </c>
      <c r="AE40" s="211" t="str">
        <f t="shared" si="4"/>
        <v/>
      </c>
      <c r="AF40" s="211" t="str">
        <f t="shared" si="5"/>
        <v/>
      </c>
      <c r="AG40" s="27"/>
      <c r="AH40" s="27"/>
      <c r="AI40" s="211" t="str">
        <f t="shared" si="7"/>
        <v/>
      </c>
      <c r="AJ40" s="27"/>
      <c r="AK40" s="27"/>
      <c r="AL40" t="str">
        <f t="shared" si="9"/>
        <v/>
      </c>
      <c r="AM40" t="str">
        <f>IF(OR(H40="",H40="N",H40="Y"),"",IF(VLOOKUP(H40,LastYrList!A:D,2,FALSE)="Did Not Shoot","!!",IF(OR(VLOOKUP(H40,LastYrList!A:D,2,FALSE)&lt;&gt;'Entrant Data'!E27,VLOOKUP(H40,LastYrList!A:D,3,FALSE)&lt;&gt;'Entrant Data'!F27),CONCATENATE("Last yr entrant ",H40," was ",VLOOKUP(H40,LastYrList!A:D,2,FALSE)," ",VLOOKUP(H40,LastYrList!A:D,3,FALSE)," of ",VLOOKUP(H40,LastYrList!A:D,4,FALSE),". Check spelling etc. &amp; Proceed only if same person!"),"")))</f>
        <v/>
      </c>
      <c r="AN40" t="str">
        <f t="shared" si="29"/>
        <v/>
      </c>
      <c r="AO40" t="str">
        <f t="shared" si="26"/>
        <v/>
      </c>
      <c r="AP40" t="str">
        <f>IF(OR(H40="y",H40="n",H40="",AM40&lt;&gt;""),"",IF(E40=VLOOKUP(H40,LastYrList!A:G,7,FALSE),"",IF(VLOOKUP(H40,LastYrList!A:G,7,FALSE)="","","Check Date of Birth (Inconsistent with last year); ")))</f>
        <v/>
      </c>
      <c r="AQ40" t="str">
        <f>IF(OR(H40="",(ISERR(VALUE(H40)))),"",IF(G40=VLOOKUP(H40,LastYrList!A:G,5,FALSE),"",IF(VLOOKUP(H40,LastYrList!A:G,5,FALSE)="","","Check Member &amp; Last year Comp No. (Inconsistency with last year); ")))</f>
        <v/>
      </c>
      <c r="AR40" t="str">
        <f>IF(OR(H40="",H40="y",H40="n"),"",IF(F40=VLOOKUP(H40,LastYrList!A:G,6,FALSE),"","Check Gender (Inconsistent with last year); "))</f>
        <v/>
      </c>
      <c r="AS40" t="str">
        <f t="shared" si="10"/>
        <v/>
      </c>
      <c r="AT40" t="str">
        <f t="shared" si="11"/>
        <v/>
      </c>
      <c r="AU40" t="str">
        <f t="shared" si="12"/>
        <v/>
      </c>
      <c r="AV40" t="str">
        <f t="shared" si="13"/>
        <v/>
      </c>
      <c r="AW40" t="str">
        <f t="shared" si="14"/>
        <v/>
      </c>
      <c r="AX40" t="str">
        <f t="shared" si="15"/>
        <v/>
      </c>
      <c r="AY40" t="str">
        <f t="shared" si="27"/>
        <v/>
      </c>
      <c r="AZ40" t="str">
        <f t="shared" si="16"/>
        <v/>
      </c>
      <c r="BA40" t="str">
        <f t="shared" si="17"/>
        <v/>
      </c>
      <c r="BB40" t="str">
        <f t="shared" si="18"/>
        <v/>
      </c>
      <c r="BC40" t="str">
        <f t="shared" si="19"/>
        <v/>
      </c>
      <c r="BE40" s="347" t="str">
        <f t="shared" si="20"/>
        <v/>
      </c>
      <c r="BF40" s="347">
        <f t="shared" si="21"/>
        <v>0</v>
      </c>
      <c r="BG40" s="346" t="str">
        <f t="shared" si="28"/>
        <v/>
      </c>
      <c r="BH40" s="346" t="str">
        <f t="shared" si="22"/>
        <v/>
      </c>
      <c r="BI40" s="206" t="str">
        <f>IF(ISNA(VLOOKUP(CONCATENATE('Entrant Data'!E27," ",'Entrant Data'!F27),LastYrList!$H:$J,2,FALSE)),"",IF(AND(OR(T(H40)&lt;&gt;"",H40=0),E40=VLOOKUP(CONCATENATE('Entrant Data'!E27," ",'Entrant Data'!F27),LastYrList!$H:$J,3,FALSE)),CONCATENATE('Entrant Data'!E27," ",'Entrant Data'!F27," was No. ",(VLOOKUP(CONCATENATE('Entrant Data'!E27," ",'Entrant Data'!F27),LastYrList!$H:$J,2,FALSE))," last year. "),""))</f>
        <v/>
      </c>
      <c r="BJ40" s="186" t="str">
        <f t="shared" si="23"/>
        <v/>
      </c>
    </row>
    <row r="41" spans="1:64" ht="13.5" x14ac:dyDescent="0.25">
      <c r="A41" s="259">
        <v>41</v>
      </c>
      <c r="B41" s="411">
        <v>25</v>
      </c>
      <c r="C41" s="60"/>
      <c r="D41" s="61"/>
      <c r="E41" s="62"/>
      <c r="F41" s="103"/>
      <c r="G41" s="63"/>
      <c r="H41" s="105"/>
      <c r="I41" s="105"/>
      <c r="J41" s="59"/>
      <c r="K41" s="407"/>
      <c r="L41" s="59"/>
      <c r="M41" s="59"/>
      <c r="N41" s="59"/>
      <c r="O41" s="59"/>
      <c r="P41" s="59"/>
      <c r="Q41" s="59"/>
      <c r="R41" s="59"/>
      <c r="S41" s="103"/>
      <c r="T41" s="59"/>
      <c r="U41" s="105"/>
      <c r="V41" s="405"/>
      <c r="W41" s="405"/>
      <c r="X41" s="59"/>
      <c r="Y41" s="109"/>
      <c r="Z41" s="431">
        <f t="shared" si="0"/>
        <v>0</v>
      </c>
      <c r="AA41" s="37" t="str">
        <f t="shared" si="30"/>
        <v/>
      </c>
      <c r="AB41" s="205" t="s">
        <v>257</v>
      </c>
      <c r="AC41" t="str">
        <f t="shared" si="2"/>
        <v>No Entrant</v>
      </c>
      <c r="AD41" s="27" t="str">
        <f t="shared" si="31"/>
        <v/>
      </c>
      <c r="AE41" s="211" t="str">
        <f t="shared" si="4"/>
        <v/>
      </c>
      <c r="AF41" s="211" t="str">
        <f t="shared" si="5"/>
        <v/>
      </c>
      <c r="AG41" s="27"/>
      <c r="AH41" s="27"/>
      <c r="AI41" s="211" t="str">
        <f t="shared" si="7"/>
        <v/>
      </c>
      <c r="AJ41" s="27"/>
      <c r="AK41" s="27"/>
      <c r="AL41" t="str">
        <f t="shared" si="9"/>
        <v/>
      </c>
      <c r="AM41" t="str">
        <f>IF(OR(H41="",H41="N",H41="Y"),"",IF(VLOOKUP(H41,LastYrList!A:D,2,FALSE)="Did Not Shoot","!!",IF(OR(VLOOKUP(H41,LastYrList!A:D,2,FALSE)&lt;&gt;'Entrant Data'!E28,VLOOKUP(H41,LastYrList!A:D,3,FALSE)&lt;&gt;'Entrant Data'!F28),CONCATENATE("Last yr entrant ",H41," was ",VLOOKUP(H41,LastYrList!A:D,2,FALSE)," ",VLOOKUP(H41,LastYrList!A:D,3,FALSE)," of ",VLOOKUP(H41,LastYrList!A:D,4,FALSE),". Check spelling etc. &amp; Proceed only if same person!"),"")))</f>
        <v/>
      </c>
      <c r="AN41" t="str">
        <f t="shared" si="29"/>
        <v/>
      </c>
      <c r="AO41" t="str">
        <f t="shared" si="26"/>
        <v/>
      </c>
      <c r="AP41" t="str">
        <f>IF(OR(H41="y",H41="n",H41="",AM41&lt;&gt;""),"",IF(E41=VLOOKUP(H41,LastYrList!A:G,7,FALSE),"",IF(VLOOKUP(H41,LastYrList!A:G,7,FALSE)="","","Check Date of Birth (Inconsistent with last year); ")))</f>
        <v/>
      </c>
      <c r="AQ41" t="str">
        <f>IF(OR(H41="",(ISERR(VALUE(H41)))),"",IF(G41=VLOOKUP(H41,LastYrList!A:G,5,FALSE),"",IF(VLOOKUP(H41,LastYrList!A:G,5,FALSE)="","","Check Member &amp; Last year Comp No. (Inconsistency with last year); ")))</f>
        <v/>
      </c>
      <c r="AR41" t="str">
        <f>IF(OR(H41="",H41="y",H41="n"),"",IF(F41=VLOOKUP(H41,LastYrList!A:G,6,FALSE),"","Check Gender (Inconsistent with last year); "))</f>
        <v/>
      </c>
      <c r="AS41" t="str">
        <f t="shared" si="10"/>
        <v/>
      </c>
      <c r="AT41" t="str">
        <f t="shared" si="11"/>
        <v/>
      </c>
      <c r="AU41" t="str">
        <f t="shared" si="12"/>
        <v/>
      </c>
      <c r="AV41" t="str">
        <f t="shared" si="13"/>
        <v/>
      </c>
      <c r="AW41" t="str">
        <f t="shared" si="14"/>
        <v/>
      </c>
      <c r="AX41" t="str">
        <f t="shared" si="15"/>
        <v/>
      </c>
      <c r="AY41" t="str">
        <f t="shared" si="27"/>
        <v/>
      </c>
      <c r="AZ41" t="str">
        <f t="shared" si="16"/>
        <v/>
      </c>
      <c r="BA41" t="str">
        <f t="shared" si="17"/>
        <v/>
      </c>
      <c r="BB41" t="str">
        <f t="shared" si="18"/>
        <v/>
      </c>
      <c r="BC41" t="str">
        <f t="shared" si="19"/>
        <v/>
      </c>
      <c r="BE41" s="347" t="str">
        <f t="shared" si="20"/>
        <v/>
      </c>
      <c r="BF41" s="347">
        <f t="shared" si="21"/>
        <v>0</v>
      </c>
      <c r="BG41" s="346" t="str">
        <f t="shared" si="28"/>
        <v/>
      </c>
      <c r="BH41" s="346" t="str">
        <f t="shared" si="22"/>
        <v/>
      </c>
      <c r="BI41" s="206" t="str">
        <f>IF(ISNA(VLOOKUP(CONCATENATE('Entrant Data'!E28," ",'Entrant Data'!F28),LastYrList!$H:$J,2,FALSE)),"",IF(AND(OR(T(H41)&lt;&gt;"",H41=0),E41=VLOOKUP(CONCATENATE('Entrant Data'!E28," ",'Entrant Data'!F28),LastYrList!$H:$J,3,FALSE)),CONCATENATE('Entrant Data'!E28," ",'Entrant Data'!F28," was No. ",(VLOOKUP(CONCATENATE('Entrant Data'!E28," ",'Entrant Data'!F28),LastYrList!$H:$J,2,FALSE))," last year. "),""))</f>
        <v/>
      </c>
      <c r="BJ41" s="186" t="str">
        <f t="shared" si="23"/>
        <v/>
      </c>
    </row>
    <row r="42" spans="1:64" ht="13.5" x14ac:dyDescent="0.25">
      <c r="A42" s="259">
        <v>42</v>
      </c>
      <c r="B42" s="411">
        <v>26</v>
      </c>
      <c r="C42" s="60"/>
      <c r="D42" s="61"/>
      <c r="E42" s="62"/>
      <c r="F42" s="103"/>
      <c r="G42" s="63"/>
      <c r="H42" s="105"/>
      <c r="I42" s="105"/>
      <c r="J42" s="59"/>
      <c r="K42" s="407"/>
      <c r="L42" s="59"/>
      <c r="M42" s="59"/>
      <c r="N42" s="59"/>
      <c r="O42" s="59"/>
      <c r="P42" s="59"/>
      <c r="Q42" s="59"/>
      <c r="R42" s="59"/>
      <c r="S42" s="103"/>
      <c r="T42" s="59"/>
      <c r="U42" s="105"/>
      <c r="V42" s="405"/>
      <c r="W42" s="405"/>
      <c r="X42" s="59"/>
      <c r="Y42" s="109"/>
      <c r="Z42" s="431">
        <f t="shared" si="0"/>
        <v>0</v>
      </c>
      <c r="AA42" s="37" t="str">
        <f t="shared" si="30"/>
        <v/>
      </c>
      <c r="AB42" s="205" t="s">
        <v>256</v>
      </c>
      <c r="AC42" t="str">
        <f t="shared" si="2"/>
        <v>No Entrant</v>
      </c>
      <c r="AD42" s="27" t="str">
        <f t="shared" si="31"/>
        <v/>
      </c>
      <c r="AE42" s="211" t="str">
        <f>IF(AC42&lt;&gt;"No Entrant",N85,"")</f>
        <v/>
      </c>
      <c r="AF42" s="211" t="str">
        <f t="shared" si="5"/>
        <v/>
      </c>
      <c r="AG42" s="27"/>
      <c r="AH42" s="27"/>
      <c r="AI42" s="211" t="str">
        <f t="shared" si="7"/>
        <v/>
      </c>
      <c r="AJ42" s="27"/>
      <c r="AK42" s="27"/>
      <c r="AL42" t="str">
        <f t="shared" si="9"/>
        <v/>
      </c>
      <c r="AM42" t="str">
        <f>IF(OR(H42="",H42="N",H42="Y"),"",IF(VLOOKUP(H42,LastYrList!A:D,2,FALSE)="Did Not Shoot","!!",IF(OR(VLOOKUP(H42,LastYrList!A:D,2,FALSE)&lt;&gt;'Entrant Data'!E29,VLOOKUP(H42,LastYrList!A:D,3,FALSE)&lt;&gt;'Entrant Data'!F29),CONCATENATE("Last yr entrant ",H42," was ",VLOOKUP(H42,LastYrList!A:D,2,FALSE)," ",VLOOKUP(H42,LastYrList!A:D,3,FALSE)," of ",VLOOKUP(H42,LastYrList!A:D,4,FALSE),". Check spelling etc. &amp; Proceed only if same person!"),"")))</f>
        <v/>
      </c>
      <c r="AN42" t="str">
        <f t="shared" si="29"/>
        <v/>
      </c>
      <c r="AO42" t="str">
        <f t="shared" si="26"/>
        <v/>
      </c>
      <c r="AP42" t="str">
        <f>IF(OR(H42="y",H42="n",H42="",AM42&lt;&gt;""),"",IF(E42=VLOOKUP(H42,LastYrList!A:G,7,FALSE),"",IF(VLOOKUP(H42,LastYrList!A:G,7,FALSE)="","","Check Date of Birth (Inconsistent with last year); ")))</f>
        <v/>
      </c>
      <c r="AQ42" t="str">
        <f>IF(OR(H42="",(ISERR(VALUE(H42)))),"",IF(G42=VLOOKUP(H42,LastYrList!A:G,5,FALSE),"",IF(VLOOKUP(H42,LastYrList!A:G,5,FALSE)="","","Check Member &amp; Last year Comp No. (Inconsistency with last year); ")))</f>
        <v/>
      </c>
      <c r="AR42" t="str">
        <f>IF(OR(H42="",H42="y",H42="n"),"",IF(F42=VLOOKUP(H42,LastYrList!A:G,6,FALSE),"","Check Gender (Inconsistent with last year); "))</f>
        <v/>
      </c>
      <c r="AS42" t="str">
        <f t="shared" si="10"/>
        <v/>
      </c>
      <c r="AT42" t="str">
        <f t="shared" si="11"/>
        <v/>
      </c>
      <c r="AU42" t="str">
        <f t="shared" si="12"/>
        <v/>
      </c>
      <c r="AV42" t="str">
        <f t="shared" si="13"/>
        <v/>
      </c>
      <c r="AW42" t="str">
        <f t="shared" si="14"/>
        <v/>
      </c>
      <c r="AX42" t="str">
        <f t="shared" si="15"/>
        <v/>
      </c>
      <c r="AY42" t="str">
        <f t="shared" si="27"/>
        <v/>
      </c>
      <c r="AZ42" t="str">
        <f t="shared" si="16"/>
        <v/>
      </c>
      <c r="BA42" t="str">
        <f t="shared" si="17"/>
        <v/>
      </c>
      <c r="BB42" t="str">
        <f t="shared" si="18"/>
        <v/>
      </c>
      <c r="BC42" t="str">
        <f t="shared" si="19"/>
        <v/>
      </c>
      <c r="BE42" s="347" t="str">
        <f t="shared" si="20"/>
        <v/>
      </c>
      <c r="BF42" s="347">
        <f t="shared" si="21"/>
        <v>0</v>
      </c>
      <c r="BG42" s="346" t="str">
        <f t="shared" si="28"/>
        <v/>
      </c>
      <c r="BH42" s="346" t="str">
        <f t="shared" si="22"/>
        <v/>
      </c>
      <c r="BI42" s="206" t="str">
        <f>IF(ISNA(VLOOKUP(CONCATENATE('Entrant Data'!E29," ",'Entrant Data'!F29),LastYrList!$H:$J,2,FALSE)),"",IF(AND(OR(T(H42)&lt;&gt;"",H42=0),E42=VLOOKUP(CONCATENATE('Entrant Data'!E29," ",'Entrant Data'!F29),LastYrList!$H:$J,3,FALSE)),CONCATENATE('Entrant Data'!E29," ",'Entrant Data'!F29," was No. ",(VLOOKUP(CONCATENATE('Entrant Data'!E29," ",'Entrant Data'!F29),LastYrList!$H:$J,2,FALSE))," last year. "),""))</f>
        <v/>
      </c>
      <c r="BJ42" s="186" t="str">
        <f t="shared" si="23"/>
        <v/>
      </c>
    </row>
    <row r="43" spans="1:64" ht="14.25" thickBot="1" x14ac:dyDescent="0.3">
      <c r="A43" s="259">
        <v>43</v>
      </c>
      <c r="B43" s="411">
        <v>27</v>
      </c>
      <c r="C43" s="64"/>
      <c r="D43" s="65"/>
      <c r="E43" s="66"/>
      <c r="F43" s="104"/>
      <c r="G43" s="68"/>
      <c r="H43" s="106"/>
      <c r="I43" s="106"/>
      <c r="J43" s="67"/>
      <c r="K43" s="408"/>
      <c r="L43" s="67"/>
      <c r="M43" s="67"/>
      <c r="N43" s="67"/>
      <c r="O43" s="67"/>
      <c r="P43" s="67"/>
      <c r="Q43" s="67"/>
      <c r="R43" s="67"/>
      <c r="S43" s="104"/>
      <c r="T43" s="67"/>
      <c r="U43" s="106"/>
      <c r="V43" s="455"/>
      <c r="W43" s="455"/>
      <c r="X43" s="67"/>
      <c r="Y43" s="110"/>
      <c r="Z43" s="431">
        <f t="shared" si="0"/>
        <v>0</v>
      </c>
      <c r="AA43" s="37" t="str">
        <f t="shared" si="30"/>
        <v/>
      </c>
      <c r="AB43" s="205" t="s">
        <v>244</v>
      </c>
      <c r="AC43" t="str">
        <f t="shared" si="2"/>
        <v>No Entrant</v>
      </c>
      <c r="AD43" s="27" t="str">
        <f t="shared" si="31"/>
        <v/>
      </c>
      <c r="AE43" s="211" t="str">
        <f>IF(AC43&lt;&gt;"No Entrant",N103,"")</f>
        <v/>
      </c>
      <c r="AF43" s="211" t="str">
        <f t="shared" si="5"/>
        <v/>
      </c>
      <c r="AG43" s="27"/>
      <c r="AH43" s="27"/>
      <c r="AI43" s="211" t="str">
        <f t="shared" si="7"/>
        <v/>
      </c>
      <c r="AJ43" s="27"/>
      <c r="AK43" s="27"/>
      <c r="AL43" t="str">
        <f t="shared" si="9"/>
        <v/>
      </c>
      <c r="AM43" t="str">
        <f>IF(OR(H43="",H43="N",H43="Y"),"",IF(VLOOKUP(H43,LastYrList!A:D,2,FALSE)="Did Not Shoot","!!",IF(OR(VLOOKUP(H43,LastYrList!A:D,2,FALSE)&lt;&gt;'Entrant Data'!E30,VLOOKUP(H43,LastYrList!A:D,3,FALSE)&lt;&gt;'Entrant Data'!F30),CONCATENATE("Last yr entrant ",H43," was ",VLOOKUP(H43,LastYrList!A:D,2,FALSE)," ",VLOOKUP(H43,LastYrList!A:D,3,FALSE)," of ",VLOOKUP(H43,LastYrList!A:D,4,FALSE),". Check spelling etc. &amp; Proceed only if same person!"),"")))</f>
        <v/>
      </c>
      <c r="AN43" t="str">
        <f t="shared" si="29"/>
        <v/>
      </c>
      <c r="AO43" t="str">
        <f t="shared" si="26"/>
        <v/>
      </c>
      <c r="AP43" t="str">
        <f>IF(OR(H43="y",H43="n",H43="",AM43&lt;&gt;""),"",IF(E43=VLOOKUP(H43,LastYrList!A:G,7,FALSE),"",IF(VLOOKUP(H43,LastYrList!A:G,7,FALSE)="","","Check Date of Birth (Inconsistent with last year); ")))</f>
        <v/>
      </c>
      <c r="AQ43" t="str">
        <f>IF(OR(H43="",(ISERR(VALUE(H43)))),"",IF(G43=VLOOKUP(H43,LastYrList!A:G,5,FALSE),"",IF(VLOOKUP(H43,LastYrList!A:G,5,FALSE)="","","Check Member &amp; Last year Comp No. (Inconsistency with last year); ")))</f>
        <v/>
      </c>
      <c r="AR43" t="str">
        <f>IF(OR(H43="",H43="y",H43="n"),"",IF(F43=VLOOKUP(H43,LastYrList!A:G,6,FALSE),"","Check Gender (Inconsistent with last year); "))</f>
        <v/>
      </c>
      <c r="AS43" t="str">
        <f t="shared" si="10"/>
        <v/>
      </c>
      <c r="AT43" t="str">
        <f t="shared" si="11"/>
        <v/>
      </c>
      <c r="AU43" t="str">
        <f t="shared" si="12"/>
        <v/>
      </c>
      <c r="AV43" t="str">
        <f t="shared" si="13"/>
        <v/>
      </c>
      <c r="AW43" t="str">
        <f t="shared" si="14"/>
        <v/>
      </c>
      <c r="AX43" t="str">
        <f t="shared" si="15"/>
        <v/>
      </c>
      <c r="AY43" t="str">
        <f t="shared" si="27"/>
        <v/>
      </c>
      <c r="AZ43" t="str">
        <f t="shared" si="16"/>
        <v/>
      </c>
      <c r="BA43" t="str">
        <f t="shared" si="17"/>
        <v/>
      </c>
      <c r="BB43" t="str">
        <f t="shared" si="18"/>
        <v/>
      </c>
      <c r="BC43" t="str">
        <f t="shared" si="19"/>
        <v/>
      </c>
      <c r="BE43" s="347" t="str">
        <f t="shared" si="20"/>
        <v/>
      </c>
      <c r="BF43" s="347">
        <f t="shared" si="21"/>
        <v>0</v>
      </c>
      <c r="BG43" s="346" t="str">
        <f t="shared" si="28"/>
        <v/>
      </c>
      <c r="BH43" s="346" t="str">
        <f t="shared" si="22"/>
        <v/>
      </c>
      <c r="BI43" s="206" t="str">
        <f>IF(ISNA(VLOOKUP(CONCATENATE('Entrant Data'!E30," ",'Entrant Data'!F30),LastYrList!$H:$J,2,FALSE)),"",IF(AND(OR(T(H43)&lt;&gt;"",H43=0),E43=VLOOKUP(CONCATENATE('Entrant Data'!E30," ",'Entrant Data'!F30),LastYrList!$H:$J,3,FALSE)),CONCATENATE('Entrant Data'!E30," ",'Entrant Data'!F30," was No. ",(VLOOKUP(CONCATENATE('Entrant Data'!E30," ",'Entrant Data'!F30),LastYrList!$H:$J,2,FALSE))," last year. "),""))</f>
        <v/>
      </c>
      <c r="BJ43" s="186" t="str">
        <f t="shared" si="23"/>
        <v/>
      </c>
    </row>
    <row r="44" spans="1:64" ht="17.25" customHeight="1" thickBot="1" x14ac:dyDescent="0.3">
      <c r="A44" s="259"/>
      <c r="B44" s="411"/>
      <c r="C44" s="171" t="s">
        <v>821</v>
      </c>
      <c r="D44" s="83"/>
      <c r="E44" s="84"/>
      <c r="F44" s="85"/>
      <c r="G44" s="86"/>
      <c r="H44" s="85"/>
      <c r="I44" s="85"/>
      <c r="J44" s="119">
        <f>10-COUNTBLANK(K47:K56)</f>
        <v>0</v>
      </c>
      <c r="K44" s="85"/>
      <c r="L44" s="85"/>
      <c r="M44" s="85"/>
      <c r="N44" s="85"/>
      <c r="O44" s="85"/>
      <c r="P44" s="85"/>
      <c r="Q44" s="85"/>
      <c r="R44" s="85"/>
      <c r="S44" s="85"/>
      <c r="T44" s="85"/>
      <c r="U44" s="85"/>
      <c r="V44" s="85"/>
      <c r="W44" s="625" t="s">
        <v>1016</v>
      </c>
      <c r="X44" s="625"/>
      <c r="Y44" s="626"/>
      <c r="Z44" s="457">
        <f>SUM(Z17:Z43)</f>
        <v>0</v>
      </c>
      <c r="AA44" s="40" t="str">
        <f>CONCATENATE(K47,K48,K49,K50,K51,K52,K53,K54,K55,K56,AI45,AL45,AB80,M156,Q156,U203,G224,O179)</f>
        <v/>
      </c>
      <c r="AB44" s="205" t="s">
        <v>245</v>
      </c>
      <c r="AC44" s="33">
        <f>COUNTIF(AC17:AC43,"Entrant")</f>
        <v>0</v>
      </c>
      <c r="AD44" s="32">
        <f>27-COUNTIF(AD17:AD43,"")</f>
        <v>0</v>
      </c>
      <c r="AE44" s="32"/>
      <c r="AF44" s="32"/>
      <c r="AG44" s="32"/>
      <c r="AH44" s="32">
        <f>8-COUNTBLANK(AH17:AH24)</f>
        <v>0</v>
      </c>
      <c r="AI44" s="32"/>
      <c r="AJ44" s="32"/>
      <c r="AK44" s="32">
        <f>8-COUNTBLANK(AK17:AK24)</f>
        <v>0</v>
      </c>
      <c r="AL44" s="32">
        <f>27-COUNTIF(AL17:AL43,"")</f>
        <v>0</v>
      </c>
      <c r="AN44" s="32">
        <f>27-COUNTIF(AN17:AN43,"")</f>
        <v>0</v>
      </c>
      <c r="AO44" s="32">
        <f>27-COUNTIF(AO17:AO43,"")</f>
        <v>0</v>
      </c>
      <c r="AP44" s="32"/>
      <c r="AQ44" s="32"/>
      <c r="AR44" s="32"/>
      <c r="AS44" s="32"/>
      <c r="AT44" s="32">
        <f t="shared" ref="AT44:AZ44" si="32">27-COUNTIF(AT17:AT43,"")</f>
        <v>0</v>
      </c>
      <c r="AU44" s="32">
        <f t="shared" si="32"/>
        <v>0</v>
      </c>
      <c r="AV44" s="32">
        <f t="shared" si="32"/>
        <v>0</v>
      </c>
      <c r="AW44" s="32">
        <f t="shared" si="32"/>
        <v>0</v>
      </c>
      <c r="AX44" s="32">
        <f t="shared" si="32"/>
        <v>0</v>
      </c>
      <c r="AY44" s="32">
        <f t="shared" si="32"/>
        <v>0</v>
      </c>
      <c r="AZ44" s="32">
        <f t="shared" si="32"/>
        <v>0</v>
      </c>
      <c r="BA44" s="32"/>
      <c r="BC44" s="32">
        <f>27-COUNTIF(BC17:BC43,"")</f>
        <v>0</v>
      </c>
      <c r="BE44" s="357"/>
      <c r="BF44" s="357"/>
      <c r="BG44" s="357">
        <f>27-COUNTIF(BG17:BG43,"")</f>
        <v>0</v>
      </c>
      <c r="BH44" s="357">
        <f>27-COUNTIF(BH17:BH43,"")</f>
        <v>0</v>
      </c>
      <c r="BI44" s="342"/>
      <c r="BJ44" s="186"/>
    </row>
    <row r="45" spans="1:64" x14ac:dyDescent="0.2">
      <c r="A45" s="259"/>
      <c r="B45" s="411"/>
      <c r="C45" s="303">
        <f>(10-COUNTBLANK(L47:L56))+S156+D246+P179+T179</f>
        <v>0</v>
      </c>
      <c r="D45" s="394" t="str">
        <f>CONCATENATE(L47,L48,L49,L50,L51,L52,L53,L54,L55,L56,T156,K246,R179,U179)</f>
        <v/>
      </c>
      <c r="E45" s="395"/>
      <c r="F45" s="395"/>
      <c r="G45" s="395"/>
      <c r="H45" s="395"/>
      <c r="I45" s="395"/>
      <c r="J45" s="395"/>
      <c r="K45" s="395"/>
      <c r="L45" s="395"/>
      <c r="M45" s="395"/>
      <c r="N45" s="395"/>
      <c r="O45" s="395"/>
      <c r="P45" s="395"/>
      <c r="Q45" s="395"/>
      <c r="R45" s="395"/>
      <c r="S45" s="395"/>
      <c r="T45" s="395"/>
      <c r="U45" s="395"/>
      <c r="V45" s="395"/>
      <c r="W45" s="395"/>
      <c r="X45" s="395"/>
      <c r="Y45" s="395"/>
      <c r="Z45" s="395"/>
      <c r="AA45" s="42" t="str">
        <f>CONCATENATE("Number of Major Errors = ",BL45)</f>
        <v>Number of Major Errors = 0</v>
      </c>
      <c r="AB45" s="205" t="s">
        <v>246</v>
      </c>
      <c r="AC45" s="203"/>
      <c r="AE45" s="27"/>
      <c r="AI45" t="str">
        <f>CONCATENATE(AH17,AH18,AH19,AH20,AH21,AH22,AH23,AH24)</f>
        <v/>
      </c>
      <c r="AL45" t="str">
        <f>CONCATENATE(AK17,AK18,AK19,AK20,AK21,AK22,AK23,AK24)</f>
        <v/>
      </c>
      <c r="AN45" s="32">
        <f>27-COUNTIF(AM17:AM43,"")</f>
        <v>0</v>
      </c>
      <c r="AO45" s="32"/>
      <c r="AP45" s="1"/>
      <c r="AQ45" s="32">
        <f>27-COUNTBLANK(AP17:AP43)</f>
        <v>0</v>
      </c>
      <c r="AR45" s="32">
        <f>27-COUNTBLANK(AQ17:AQ43)</f>
        <v>0</v>
      </c>
      <c r="AS45" s="32">
        <f>27-COUNTIF(AR17:AR43,"")</f>
        <v>0</v>
      </c>
      <c r="AT45" s="32">
        <f>27-COUNTIF(AS17:AS43,"")</f>
        <v>0</v>
      </c>
      <c r="BB45" s="32">
        <f>27-COUNTIF(BA17:BA43,"")</f>
        <v>0</v>
      </c>
      <c r="BC45" s="32">
        <f>27-COUNTIF(BB17:BB43,"")</f>
        <v>0</v>
      </c>
      <c r="BD45" s="32"/>
      <c r="BE45" s="32"/>
      <c r="BF45" s="1"/>
      <c r="BG45" s="1"/>
      <c r="BK45" s="204">
        <f>SUM(AE45:AT45)+C45</f>
        <v>0</v>
      </c>
      <c r="BL45" s="203">
        <f>SUM(AE44:BI44)+(1-COUNTBLANK(AA10))+J44+L139+P139+K185+F224+N162</f>
        <v>0</v>
      </c>
    </row>
    <row r="46" spans="1:64" ht="13.5" thickBot="1" x14ac:dyDescent="0.25">
      <c r="A46" s="259"/>
      <c r="B46" s="411"/>
      <c r="C46" s="30"/>
      <c r="D46" s="31"/>
      <c r="E46" s="31"/>
      <c r="F46" s="31"/>
      <c r="G46" s="31"/>
      <c r="H46" s="31"/>
      <c r="I46" s="31"/>
      <c r="J46" s="31"/>
      <c r="K46" s="31"/>
      <c r="L46" s="31"/>
      <c r="M46" s="31"/>
      <c r="N46" s="31"/>
      <c r="O46" s="31"/>
      <c r="P46" s="31"/>
      <c r="Q46" s="31"/>
      <c r="R46" s="31"/>
      <c r="S46" s="31"/>
      <c r="T46" s="31"/>
      <c r="U46" s="31"/>
      <c r="V46" s="31"/>
      <c r="W46" s="31"/>
      <c r="X46" s="31"/>
      <c r="Y46" s="31"/>
      <c r="Z46" s="31"/>
      <c r="AA46" s="43" t="str">
        <f>CONCATENATE("Number of Warnings = ",BK45)</f>
        <v>Number of Warnings = 0</v>
      </c>
      <c r="AB46" s="205" t="s">
        <v>247</v>
      </c>
      <c r="AE46" s="27"/>
      <c r="AP46" s="1"/>
      <c r="AQ46" s="1"/>
      <c r="AR46" s="1"/>
      <c r="AS46" s="1"/>
      <c r="BF46" s="1"/>
      <c r="BG46" s="1"/>
    </row>
    <row r="47" spans="1:64" hidden="1" x14ac:dyDescent="0.2">
      <c r="A47" s="259"/>
      <c r="B47" s="411"/>
      <c r="H47" s="146" t="s">
        <v>240</v>
      </c>
      <c r="I47" s="146"/>
      <c r="J47" s="430">
        <f>Entrants!I47+COUNTIF(J$17:J$43,H47)</f>
        <v>0</v>
      </c>
      <c r="K47" s="151" t="str">
        <f>IF(J47&gt;3,CONCATENATE(H47," has too many Members."),"")</f>
        <v/>
      </c>
      <c r="L47" s="188" t="str">
        <f>IF(AND(J47&gt;0,J47&lt;3),CONCATENATE(H47," has too few Members. "),"")</f>
        <v/>
      </c>
      <c r="N47" s="26"/>
      <c r="AB47" s="205" t="s">
        <v>248</v>
      </c>
      <c r="AE47" s="27"/>
      <c r="AP47" s="1"/>
      <c r="AQ47" s="1"/>
      <c r="AR47" s="1"/>
      <c r="AS47" s="1"/>
      <c r="BF47" s="1"/>
      <c r="BG47" s="1"/>
    </row>
    <row r="48" spans="1:64" hidden="1" x14ac:dyDescent="0.2">
      <c r="A48" s="260" t="s">
        <v>400</v>
      </c>
      <c r="B48" s="283"/>
      <c r="H48" s="146" t="s">
        <v>241</v>
      </c>
      <c r="I48" s="146"/>
      <c r="J48" s="430">
        <f>Entrants!I48+COUNTIF(J$17:J$43,H48)</f>
        <v>0</v>
      </c>
      <c r="K48" s="151" t="str">
        <f>IF(J48&gt;3,CONCATENATE(H48," has too many Members."),"")</f>
        <v/>
      </c>
      <c r="L48" s="188" t="str">
        <f t="shared" ref="L48:L56" si="33">IF(AND(J48&gt;0,J48&lt;3),CONCATENATE(H48," has too few Members. "),"")</f>
        <v/>
      </c>
      <c r="AB48" s="205" t="s">
        <v>249</v>
      </c>
      <c r="AE48" s="27"/>
      <c r="AP48" s="1"/>
      <c r="AQ48" s="1"/>
      <c r="AR48" s="1"/>
      <c r="AS48" s="1"/>
      <c r="BF48" s="1"/>
      <c r="BG48" s="1"/>
    </row>
    <row r="49" spans="1:59" hidden="1" x14ac:dyDescent="0.2">
      <c r="A49" s="257"/>
      <c r="E49" s="24"/>
      <c r="H49" s="146" t="s">
        <v>242</v>
      </c>
      <c r="I49" s="146"/>
      <c r="J49" s="430">
        <f>Entrants!I49+COUNTIF(J$17:J$43,H49)</f>
        <v>0</v>
      </c>
      <c r="K49" s="151" t="str">
        <f>IF(J49&gt;3,CONCATENATE(H49," has too many Members."),"")</f>
        <v/>
      </c>
      <c r="L49" s="188" t="str">
        <f t="shared" si="33"/>
        <v/>
      </c>
      <c r="AB49" s="218" t="s">
        <v>24</v>
      </c>
      <c r="AE49" s="27"/>
      <c r="AP49" s="1"/>
      <c r="AQ49" s="1"/>
      <c r="AR49" s="1"/>
      <c r="AS49" s="1"/>
      <c r="BF49" s="1"/>
      <c r="BG49" s="1"/>
    </row>
    <row r="50" spans="1:59" hidden="1" x14ac:dyDescent="0.2">
      <c r="A50" s="257"/>
      <c r="E50" s="24"/>
      <c r="H50" s="146" t="s">
        <v>243</v>
      </c>
      <c r="I50" s="146"/>
      <c r="J50" s="430">
        <f>Entrants!I50+COUNTIF(J$17:J$43,H50)</f>
        <v>0</v>
      </c>
      <c r="K50" s="151" t="str">
        <f>IF(J50&gt;3,CONCATENATE(H50," has too many Members."),"")</f>
        <v/>
      </c>
      <c r="L50" s="188" t="str">
        <f>IF(AND(J50&gt;0,J50&lt;3),CONCATENATE(H50," has too few Members. "),"")</f>
        <v/>
      </c>
      <c r="AB50" s="218" t="s">
        <v>25</v>
      </c>
      <c r="AE50" s="27"/>
      <c r="AP50" s="1"/>
      <c r="AQ50" s="1"/>
      <c r="AR50" s="1"/>
      <c r="AS50" s="1"/>
      <c r="BF50" s="1"/>
      <c r="BG50" s="1"/>
    </row>
    <row r="51" spans="1:59" hidden="1" x14ac:dyDescent="0.2">
      <c r="A51" s="257"/>
      <c r="E51" s="24"/>
      <c r="H51" s="146" t="s">
        <v>250</v>
      </c>
      <c r="I51" s="146"/>
      <c r="J51" s="430">
        <f>Entrants!I51+COUNTIF(J$17:J$43,H51)</f>
        <v>0</v>
      </c>
      <c r="K51" s="151" t="str">
        <f t="shared" ref="K51:K56" si="34">IF(J51&gt;3,CONCATENATE(H51," has too many Members."),"")</f>
        <v/>
      </c>
      <c r="L51" s="188" t="str">
        <f t="shared" si="33"/>
        <v/>
      </c>
      <c r="AB51" s="218" t="s">
        <v>26</v>
      </c>
      <c r="AE51" s="27"/>
      <c r="AP51" s="1"/>
      <c r="AQ51" s="1"/>
      <c r="AR51" s="1"/>
      <c r="AS51" s="1"/>
      <c r="BF51" s="1"/>
      <c r="BG51" s="1"/>
    </row>
    <row r="52" spans="1:59" hidden="1" x14ac:dyDescent="0.2">
      <c r="A52" s="257"/>
      <c r="E52" s="24"/>
      <c r="H52" s="146" t="s">
        <v>251</v>
      </c>
      <c r="I52" s="146"/>
      <c r="J52" s="430">
        <f>Entrants!I52+COUNTIF(J$17:J$43,H52)</f>
        <v>0</v>
      </c>
      <c r="K52" s="151" t="str">
        <f t="shared" si="34"/>
        <v/>
      </c>
      <c r="L52" s="188" t="str">
        <f t="shared" si="33"/>
        <v/>
      </c>
      <c r="AB52" s="456" t="s">
        <v>30</v>
      </c>
      <c r="AE52" s="27"/>
      <c r="AP52" s="1"/>
      <c r="AQ52" s="1"/>
      <c r="AR52" s="1"/>
      <c r="AS52" s="1"/>
      <c r="BF52" s="1"/>
      <c r="BG52" s="1"/>
    </row>
    <row r="53" spans="1:59" hidden="1" x14ac:dyDescent="0.2">
      <c r="A53" s="257"/>
      <c r="E53" s="24"/>
      <c r="H53" s="146" t="s">
        <v>252</v>
      </c>
      <c r="I53" s="146"/>
      <c r="J53" s="430">
        <f>Entrants!I53+COUNTIF(J$17:J$43,H53)</f>
        <v>0</v>
      </c>
      <c r="K53" s="151" t="str">
        <f t="shared" si="34"/>
        <v/>
      </c>
      <c r="L53" s="188" t="str">
        <f t="shared" si="33"/>
        <v/>
      </c>
      <c r="AB53" s="456" t="s">
        <v>29</v>
      </c>
      <c r="AE53" s="27"/>
      <c r="AP53" s="1"/>
      <c r="AQ53" s="1"/>
      <c r="AR53" s="1"/>
      <c r="AS53" s="1"/>
      <c r="BF53" s="1"/>
      <c r="BG53" s="1"/>
    </row>
    <row r="54" spans="1:59" hidden="1" x14ac:dyDescent="0.2">
      <c r="A54" s="257"/>
      <c r="E54" s="24"/>
      <c r="H54" s="146" t="s">
        <v>253</v>
      </c>
      <c r="I54" s="146"/>
      <c r="J54" s="430">
        <f>Entrants!I54+COUNTIF(J$17:J$43,H54)</f>
        <v>0</v>
      </c>
      <c r="K54" s="151" t="str">
        <f t="shared" si="34"/>
        <v/>
      </c>
      <c r="L54" s="188" t="str">
        <f t="shared" si="33"/>
        <v/>
      </c>
      <c r="T54" s="81"/>
      <c r="AB54" s="205" t="s">
        <v>267</v>
      </c>
      <c r="AE54" s="27"/>
      <c r="AP54" s="1"/>
      <c r="AQ54" s="1"/>
      <c r="AR54" s="1"/>
      <c r="AS54" s="1"/>
      <c r="BF54" s="1"/>
      <c r="BG54" s="1"/>
    </row>
    <row r="55" spans="1:59" hidden="1" x14ac:dyDescent="0.2">
      <c r="A55" s="257"/>
      <c r="E55" s="24"/>
      <c r="H55" s="146" t="s">
        <v>254</v>
      </c>
      <c r="I55" s="146"/>
      <c r="J55" s="430">
        <f>Entrants!I55+COUNTIF(J$17:J$43,H55)</f>
        <v>0</v>
      </c>
      <c r="K55" s="151" t="str">
        <f t="shared" si="34"/>
        <v/>
      </c>
      <c r="L55" s="188" t="str">
        <f t="shared" si="33"/>
        <v/>
      </c>
      <c r="AB55" s="205" t="s">
        <v>266</v>
      </c>
      <c r="AE55" s="27"/>
      <c r="AP55" s="1"/>
      <c r="AQ55" s="1"/>
      <c r="AR55" s="1"/>
      <c r="AS55" s="1"/>
      <c r="BF55" s="1"/>
      <c r="BG55" s="1"/>
    </row>
    <row r="56" spans="1:59" hidden="1" x14ac:dyDescent="0.2">
      <c r="A56" s="257"/>
      <c r="E56" s="24"/>
      <c r="H56" s="146" t="s">
        <v>309</v>
      </c>
      <c r="I56" s="146"/>
      <c r="J56" s="430">
        <f>Entrants!I56+COUNTIF(J$17:J$43,H56)</f>
        <v>0</v>
      </c>
      <c r="K56" s="151" t="str">
        <f t="shared" si="34"/>
        <v/>
      </c>
      <c r="L56" s="188" t="str">
        <f t="shared" si="33"/>
        <v/>
      </c>
      <c r="AB56" s="205" t="s">
        <v>265</v>
      </c>
      <c r="AE56" s="27"/>
      <c r="AP56" s="1"/>
      <c r="AQ56" s="1"/>
      <c r="AR56" s="1"/>
      <c r="AS56" s="1"/>
      <c r="BF56" s="1"/>
      <c r="BG56" s="1"/>
    </row>
    <row r="57" spans="1:59" ht="38.25" hidden="1" x14ac:dyDescent="0.2">
      <c r="A57" s="257"/>
      <c r="E57" s="97"/>
      <c r="G57" s="1" t="s">
        <v>311</v>
      </c>
      <c r="H57" s="1" t="s">
        <v>312</v>
      </c>
      <c r="I57" s="1"/>
      <c r="J57" s="82" t="s">
        <v>313</v>
      </c>
      <c r="K57" s="32" t="s">
        <v>314</v>
      </c>
      <c r="L57" s="1" t="s">
        <v>315</v>
      </c>
      <c r="M57" s="1" t="s">
        <v>316</v>
      </c>
      <c r="N57" s="1" t="s">
        <v>270</v>
      </c>
      <c r="O57" s="1" t="s">
        <v>317</v>
      </c>
      <c r="P57" s="107" t="s">
        <v>318</v>
      </c>
      <c r="Q57" s="107" t="s">
        <v>335</v>
      </c>
      <c r="R57" s="107" t="s">
        <v>336</v>
      </c>
      <c r="S57" s="107" t="s">
        <v>333</v>
      </c>
      <c r="T57" s="107" t="s">
        <v>319</v>
      </c>
      <c r="U57" s="107" t="s">
        <v>320</v>
      </c>
      <c r="V57" s="107" t="s">
        <v>334</v>
      </c>
      <c r="W57" s="107"/>
      <c r="X57" s="107" t="s">
        <v>329</v>
      </c>
      <c r="Y57" s="107" t="s">
        <v>331</v>
      </c>
      <c r="Z57" s="107"/>
      <c r="AB57" s="205" t="s">
        <v>264</v>
      </c>
      <c r="AE57" s="27"/>
      <c r="AP57" s="1"/>
      <c r="AQ57" s="1"/>
      <c r="AR57" s="1"/>
      <c r="AS57" s="1"/>
      <c r="BF57" s="1"/>
      <c r="BG57" s="1"/>
    </row>
    <row r="58" spans="1:59" hidden="1" x14ac:dyDescent="0.2">
      <c r="A58" s="261" t="str">
        <f>IF(COUNTBLANK(C17:D17)&lt;2,E17,"")</f>
        <v/>
      </c>
      <c r="B58" s="412"/>
      <c r="C58" t="str">
        <f>TRIM(PROPER(C17))</f>
        <v/>
      </c>
      <c r="D58" t="str">
        <f>TRIM(PROPER(D17))</f>
        <v/>
      </c>
      <c r="E58" s="1">
        <f>E17</f>
        <v>0</v>
      </c>
      <c r="F58" t="str">
        <f>UPPER(J17)</f>
        <v/>
      </c>
      <c r="G58" s="1">
        <f>DAY(E58)</f>
        <v>0</v>
      </c>
      <c r="H58" s="1">
        <f>MONTH(E58)</f>
        <v>1</v>
      </c>
      <c r="I58" s="1"/>
      <c r="J58" s="1">
        <f>YEAR(E58)</f>
        <v>1900</v>
      </c>
      <c r="K58" s="32">
        <f t="shared" ref="K58:K84" si="35">DAY(Q_Date)-G58</f>
        <v>21</v>
      </c>
      <c r="L58" s="32">
        <f t="shared" ref="L58:L84" si="36">MONTH(Q_Date)-H58</f>
        <v>9</v>
      </c>
      <c r="M58" s="32">
        <f t="shared" ref="M58:M84" si="37">YEAR(Q_Date)-J58</f>
        <v>117</v>
      </c>
      <c r="N58" s="1">
        <f>M58+L58/12+K58/365</f>
        <v>117.80753424657534</v>
      </c>
      <c r="O58" s="1" t="str">
        <f t="shared" ref="O58:O69" si="38">IF(C58&lt;&gt;"",INT(N58),"")</f>
        <v/>
      </c>
      <c r="P58" s="1" t="str">
        <f t="shared" ref="P58:P84" si="39">IF(AND($O58&gt;18,$L17="N"),"",IF(AND(COUNTBLANK($K17)=1,$O58&lt;14),1,""))</f>
        <v/>
      </c>
      <c r="Q58" t="str">
        <f>IF(AND(N58&gt;=13.5,N58&lt;14),1,"")</f>
        <v/>
      </c>
      <c r="R58" s="1" t="str">
        <f t="shared" ref="R58:R84" si="40">IF(AND($O58&gt;18,$L17="N"),"",IF(AND(COUNTBLANK($K17)=1,$O58&gt;=14,$O58&lt;18),1,""))</f>
        <v/>
      </c>
      <c r="T58" s="1" t="str">
        <f t="shared" ref="T58:T84" si="41">IF(AND($O58&gt;18,$L17="N"),"",IF(AND(COUNTBLANK($K17)=1,$O58&gt;=18,$O58&lt;25),1,""))</f>
        <v/>
      </c>
      <c r="U58" s="1" t="str">
        <f t="shared" ref="U58:U69" si="42">IF(AND($O58&gt;18,$L17="N"),"",IF(AND(COUNTBLANK($K17)=1,$C58&lt;&gt;"",$O58&gt;=25),1,""))</f>
        <v/>
      </c>
      <c r="V58" t="str">
        <f>IF(SUM(P58:U58)=1,1,"")</f>
        <v/>
      </c>
      <c r="X58" t="str">
        <f>IF(COUNTIF(K17,"R")=1,1,"")</f>
        <v/>
      </c>
      <c r="Y58" t="str">
        <f>IF(COUNTIF(L17,"n")=1,1,"")</f>
        <v/>
      </c>
      <c r="AB58" s="205" t="s">
        <v>263</v>
      </c>
      <c r="AE58" s="27"/>
      <c r="AP58" s="1"/>
      <c r="AQ58" s="1"/>
      <c r="AR58" s="1"/>
      <c r="AS58" s="1"/>
      <c r="BF58" s="1"/>
      <c r="BG58" s="1"/>
    </row>
    <row r="59" spans="1:59" hidden="1" x14ac:dyDescent="0.2">
      <c r="A59" s="261" t="str">
        <f t="shared" ref="A59:A84" si="43">IF(COUNTBLANK(C18:D18)&lt;2,E18,"")</f>
        <v/>
      </c>
      <c r="B59" s="412"/>
      <c r="C59" t="str">
        <f t="shared" ref="C59:D59" si="44">TRIM(PROPER(C18))</f>
        <v/>
      </c>
      <c r="D59" t="str">
        <f t="shared" si="44"/>
        <v/>
      </c>
      <c r="E59" s="1">
        <f t="shared" ref="E59:E84" si="45">E18</f>
        <v>0</v>
      </c>
      <c r="F59" t="str">
        <f t="shared" ref="F59:F84" si="46">UPPER(J18)</f>
        <v/>
      </c>
      <c r="G59" s="1">
        <f t="shared" ref="G59:G84" si="47">DAY(E59)</f>
        <v>0</v>
      </c>
      <c r="H59" s="1">
        <f t="shared" ref="H59:H84" si="48">MONTH(E59)</f>
        <v>1</v>
      </c>
      <c r="I59" s="1"/>
      <c r="J59" s="1">
        <f t="shared" ref="J59:J84" si="49">YEAR(E59)</f>
        <v>1900</v>
      </c>
      <c r="K59" s="32">
        <f t="shared" si="35"/>
        <v>21</v>
      </c>
      <c r="L59" s="32">
        <f t="shared" si="36"/>
        <v>9</v>
      </c>
      <c r="M59" s="32">
        <f t="shared" si="37"/>
        <v>117</v>
      </c>
      <c r="N59" s="1">
        <f t="shared" ref="N59:N84" si="50">M59+L59/12+K59/365</f>
        <v>117.80753424657534</v>
      </c>
      <c r="O59" s="1" t="str">
        <f t="shared" si="38"/>
        <v/>
      </c>
      <c r="P59" s="1" t="str">
        <f t="shared" si="39"/>
        <v/>
      </c>
      <c r="Q59" t="str">
        <f t="shared" ref="Q59:Q84" si="51">IF(AND(N59&gt;=13.5,N59&lt;14),1,"")</f>
        <v/>
      </c>
      <c r="R59" s="1" t="str">
        <f t="shared" si="40"/>
        <v/>
      </c>
      <c r="T59" s="1" t="str">
        <f t="shared" si="41"/>
        <v/>
      </c>
      <c r="U59" s="1" t="str">
        <f t="shared" si="42"/>
        <v/>
      </c>
      <c r="V59" t="str">
        <f t="shared" ref="V59:V84" si="52">IF(SUM(P59:U59)=1,1,"")</f>
        <v/>
      </c>
      <c r="X59" t="str">
        <f t="shared" ref="X59:X81" si="53">IF(COUNTIF(K18,"R")=1,1,"")</f>
        <v/>
      </c>
      <c r="Y59" t="str">
        <f t="shared" ref="Y59:Y81" si="54">IF(COUNTIF(L18,"n")=1,1,"")</f>
        <v/>
      </c>
      <c r="AB59" s="205" t="s">
        <v>262</v>
      </c>
      <c r="AE59" s="27"/>
      <c r="AP59" s="1"/>
      <c r="AQ59" s="1"/>
      <c r="AR59" s="1"/>
      <c r="AS59" s="1"/>
      <c r="BF59" s="1"/>
      <c r="BG59" s="1"/>
    </row>
    <row r="60" spans="1:59" hidden="1" x14ac:dyDescent="0.2">
      <c r="A60" s="261" t="str">
        <f t="shared" si="43"/>
        <v/>
      </c>
      <c r="B60" s="412"/>
      <c r="C60" t="str">
        <f t="shared" ref="C60:D60" si="55">TRIM(PROPER(C19))</f>
        <v/>
      </c>
      <c r="D60" t="str">
        <f t="shared" si="55"/>
        <v/>
      </c>
      <c r="E60" s="1">
        <f t="shared" si="45"/>
        <v>0</v>
      </c>
      <c r="F60" t="str">
        <f t="shared" si="46"/>
        <v/>
      </c>
      <c r="G60" s="1">
        <f t="shared" si="47"/>
        <v>0</v>
      </c>
      <c r="H60" s="1">
        <f t="shared" si="48"/>
        <v>1</v>
      </c>
      <c r="I60" s="1"/>
      <c r="J60" s="1">
        <f t="shared" si="49"/>
        <v>1900</v>
      </c>
      <c r="K60" s="32">
        <f t="shared" si="35"/>
        <v>21</v>
      </c>
      <c r="L60" s="32">
        <f t="shared" si="36"/>
        <v>9</v>
      </c>
      <c r="M60" s="32">
        <f t="shared" si="37"/>
        <v>117</v>
      </c>
      <c r="N60" s="1">
        <f t="shared" si="50"/>
        <v>117.80753424657534</v>
      </c>
      <c r="O60" s="1" t="str">
        <f t="shared" si="38"/>
        <v/>
      </c>
      <c r="P60" s="1" t="str">
        <f t="shared" si="39"/>
        <v/>
      </c>
      <c r="Q60" t="str">
        <f t="shared" si="51"/>
        <v/>
      </c>
      <c r="R60" s="1" t="str">
        <f t="shared" si="40"/>
        <v/>
      </c>
      <c r="T60" s="1" t="str">
        <f t="shared" si="41"/>
        <v/>
      </c>
      <c r="U60" s="1" t="str">
        <f t="shared" si="42"/>
        <v/>
      </c>
      <c r="V60" t="str">
        <f t="shared" si="52"/>
        <v/>
      </c>
      <c r="X60" t="str">
        <f t="shared" si="53"/>
        <v/>
      </c>
      <c r="Y60" t="str">
        <f t="shared" si="54"/>
        <v/>
      </c>
      <c r="AB60" s="205" t="s">
        <v>261</v>
      </c>
      <c r="AE60" s="27"/>
      <c r="AP60" s="1"/>
      <c r="AQ60" s="1"/>
      <c r="AR60" s="1"/>
      <c r="AS60" s="1"/>
      <c r="BF60" s="1"/>
      <c r="BG60" s="1"/>
    </row>
    <row r="61" spans="1:59" hidden="1" x14ac:dyDescent="0.2">
      <c r="A61" s="261" t="str">
        <f t="shared" si="43"/>
        <v/>
      </c>
      <c r="B61" s="412"/>
      <c r="C61" t="str">
        <f t="shared" ref="C61:D61" si="56">TRIM(PROPER(C20))</f>
        <v/>
      </c>
      <c r="D61" t="str">
        <f t="shared" si="56"/>
        <v/>
      </c>
      <c r="E61" s="1">
        <f t="shared" si="45"/>
        <v>0</v>
      </c>
      <c r="F61" t="str">
        <f t="shared" si="46"/>
        <v/>
      </c>
      <c r="G61" s="1">
        <f t="shared" si="47"/>
        <v>0</v>
      </c>
      <c r="H61" s="1">
        <f t="shared" si="48"/>
        <v>1</v>
      </c>
      <c r="I61" s="1"/>
      <c r="J61" s="1">
        <f t="shared" si="49"/>
        <v>1900</v>
      </c>
      <c r="K61" s="32">
        <f t="shared" si="35"/>
        <v>21</v>
      </c>
      <c r="L61" s="32">
        <f t="shared" si="36"/>
        <v>9</v>
      </c>
      <c r="M61" s="32">
        <f t="shared" si="37"/>
        <v>117</v>
      </c>
      <c r="N61" s="1">
        <f t="shared" si="50"/>
        <v>117.80753424657534</v>
      </c>
      <c r="O61" s="1" t="str">
        <f t="shared" si="38"/>
        <v/>
      </c>
      <c r="P61" s="1" t="str">
        <f t="shared" si="39"/>
        <v/>
      </c>
      <c r="Q61" t="str">
        <f t="shared" si="51"/>
        <v/>
      </c>
      <c r="R61" s="1" t="str">
        <f t="shared" si="40"/>
        <v/>
      </c>
      <c r="T61" s="1" t="str">
        <f t="shared" si="41"/>
        <v/>
      </c>
      <c r="U61" s="1" t="str">
        <f t="shared" si="42"/>
        <v/>
      </c>
      <c r="V61" t="str">
        <f t="shared" si="52"/>
        <v/>
      </c>
      <c r="X61" t="str">
        <f t="shared" si="53"/>
        <v/>
      </c>
      <c r="Y61" t="str">
        <f t="shared" si="54"/>
        <v/>
      </c>
      <c r="AB61" s="205" t="s">
        <v>260</v>
      </c>
      <c r="AE61" s="27"/>
      <c r="AP61" s="1"/>
      <c r="AQ61" s="1"/>
      <c r="AR61" s="1"/>
      <c r="AS61" s="1"/>
      <c r="BF61" s="1"/>
      <c r="BG61" s="1"/>
    </row>
    <row r="62" spans="1:59" hidden="1" x14ac:dyDescent="0.2">
      <c r="A62" s="261" t="str">
        <f t="shared" si="43"/>
        <v/>
      </c>
      <c r="B62" s="412"/>
      <c r="C62" t="str">
        <f t="shared" ref="C62:D62" si="57">TRIM(PROPER(C21))</f>
        <v/>
      </c>
      <c r="D62" t="str">
        <f t="shared" si="57"/>
        <v/>
      </c>
      <c r="E62" s="1">
        <f t="shared" si="45"/>
        <v>0</v>
      </c>
      <c r="F62" t="str">
        <f t="shared" si="46"/>
        <v/>
      </c>
      <c r="G62" s="1">
        <f t="shared" si="47"/>
        <v>0</v>
      </c>
      <c r="H62" s="1">
        <f t="shared" si="48"/>
        <v>1</v>
      </c>
      <c r="I62" s="1"/>
      <c r="J62" s="1">
        <f t="shared" si="49"/>
        <v>1900</v>
      </c>
      <c r="K62" s="32">
        <f t="shared" si="35"/>
        <v>21</v>
      </c>
      <c r="L62" s="32">
        <f t="shared" si="36"/>
        <v>9</v>
      </c>
      <c r="M62" s="32">
        <f t="shared" si="37"/>
        <v>117</v>
      </c>
      <c r="N62" s="1">
        <f t="shared" si="50"/>
        <v>117.80753424657534</v>
      </c>
      <c r="O62" s="1" t="str">
        <f t="shared" si="38"/>
        <v/>
      </c>
      <c r="P62" s="1" t="str">
        <f t="shared" si="39"/>
        <v/>
      </c>
      <c r="Q62" t="str">
        <f t="shared" si="51"/>
        <v/>
      </c>
      <c r="R62" s="1" t="str">
        <f t="shared" si="40"/>
        <v/>
      </c>
      <c r="T62" s="1" t="str">
        <f t="shared" si="41"/>
        <v/>
      </c>
      <c r="U62" s="1" t="str">
        <f t="shared" si="42"/>
        <v/>
      </c>
      <c r="V62" t="str">
        <f t="shared" si="52"/>
        <v/>
      </c>
      <c r="X62" t="str">
        <f t="shared" si="53"/>
        <v/>
      </c>
      <c r="Y62" t="str">
        <f t="shared" si="54"/>
        <v/>
      </c>
      <c r="AB62" s="205" t="s">
        <v>259</v>
      </c>
      <c r="AE62" s="27"/>
      <c r="AP62" s="1"/>
      <c r="AQ62" s="1"/>
      <c r="AR62" s="1"/>
      <c r="AS62" s="1"/>
      <c r="BF62" s="1"/>
      <c r="BG62" s="1"/>
    </row>
    <row r="63" spans="1:59" hidden="1" x14ac:dyDescent="0.2">
      <c r="A63" s="261" t="str">
        <f t="shared" si="43"/>
        <v/>
      </c>
      <c r="B63" s="412"/>
      <c r="C63" t="str">
        <f t="shared" ref="C63:D63" si="58">TRIM(PROPER(C22))</f>
        <v/>
      </c>
      <c r="D63" t="str">
        <f t="shared" si="58"/>
        <v/>
      </c>
      <c r="E63" s="1">
        <f t="shared" si="45"/>
        <v>0</v>
      </c>
      <c r="F63" t="str">
        <f t="shared" si="46"/>
        <v/>
      </c>
      <c r="G63" s="1">
        <f t="shared" si="47"/>
        <v>0</v>
      </c>
      <c r="H63" s="1">
        <f t="shared" si="48"/>
        <v>1</v>
      </c>
      <c r="I63" s="1"/>
      <c r="J63" s="1">
        <f t="shared" si="49"/>
        <v>1900</v>
      </c>
      <c r="K63" s="32">
        <f t="shared" si="35"/>
        <v>21</v>
      </c>
      <c r="L63" s="32">
        <f t="shared" si="36"/>
        <v>9</v>
      </c>
      <c r="M63" s="32">
        <f t="shared" si="37"/>
        <v>117</v>
      </c>
      <c r="N63" s="1">
        <f t="shared" si="50"/>
        <v>117.80753424657534</v>
      </c>
      <c r="O63" s="1" t="str">
        <f t="shared" si="38"/>
        <v/>
      </c>
      <c r="P63" s="1" t="str">
        <f t="shared" si="39"/>
        <v/>
      </c>
      <c r="Q63" t="str">
        <f t="shared" si="51"/>
        <v/>
      </c>
      <c r="R63" s="1" t="str">
        <f t="shared" si="40"/>
        <v/>
      </c>
      <c r="T63" s="1" t="str">
        <f t="shared" si="41"/>
        <v/>
      </c>
      <c r="U63" s="1" t="str">
        <f t="shared" si="42"/>
        <v/>
      </c>
      <c r="V63" t="str">
        <f t="shared" si="52"/>
        <v/>
      </c>
      <c r="X63" t="str">
        <f t="shared" si="53"/>
        <v/>
      </c>
      <c r="Y63" t="str">
        <f t="shared" si="54"/>
        <v/>
      </c>
      <c r="AB63" s="205" t="s">
        <v>258</v>
      </c>
      <c r="AE63" s="27"/>
      <c r="AP63" s="1"/>
      <c r="AQ63" s="1"/>
      <c r="AR63" s="1"/>
      <c r="AS63" s="1"/>
      <c r="BF63" s="1"/>
      <c r="BG63" s="1"/>
    </row>
    <row r="64" spans="1:59" hidden="1" x14ac:dyDescent="0.2">
      <c r="A64" s="261" t="str">
        <f t="shared" si="43"/>
        <v/>
      </c>
      <c r="B64" s="412"/>
      <c r="C64" t="str">
        <f t="shared" ref="C64:D64" si="59">TRIM(PROPER(C23))</f>
        <v/>
      </c>
      <c r="D64" t="str">
        <f t="shared" si="59"/>
        <v/>
      </c>
      <c r="E64" s="1">
        <f t="shared" si="45"/>
        <v>0</v>
      </c>
      <c r="F64" t="str">
        <f t="shared" si="46"/>
        <v/>
      </c>
      <c r="G64" s="1">
        <f t="shared" si="47"/>
        <v>0</v>
      </c>
      <c r="H64" s="1">
        <f t="shared" si="48"/>
        <v>1</v>
      </c>
      <c r="I64" s="1"/>
      <c r="J64" s="1">
        <f t="shared" si="49"/>
        <v>1900</v>
      </c>
      <c r="K64" s="32">
        <f t="shared" si="35"/>
        <v>21</v>
      </c>
      <c r="L64" s="32">
        <f t="shared" si="36"/>
        <v>9</v>
      </c>
      <c r="M64" s="32">
        <f t="shared" si="37"/>
        <v>117</v>
      </c>
      <c r="N64" s="1">
        <f t="shared" si="50"/>
        <v>117.80753424657534</v>
      </c>
      <c r="O64" s="1" t="str">
        <f t="shared" si="38"/>
        <v/>
      </c>
      <c r="P64" s="1" t="str">
        <f t="shared" si="39"/>
        <v/>
      </c>
      <c r="Q64" t="str">
        <f t="shared" si="51"/>
        <v/>
      </c>
      <c r="R64" s="1" t="str">
        <f t="shared" si="40"/>
        <v/>
      </c>
      <c r="T64" s="1" t="str">
        <f t="shared" si="41"/>
        <v/>
      </c>
      <c r="U64" s="1" t="str">
        <f t="shared" si="42"/>
        <v/>
      </c>
      <c r="V64" t="str">
        <f t="shared" si="52"/>
        <v/>
      </c>
      <c r="X64" t="str">
        <f t="shared" si="53"/>
        <v/>
      </c>
      <c r="Y64" t="str">
        <f t="shared" si="54"/>
        <v/>
      </c>
      <c r="AB64" s="205" t="s">
        <v>257</v>
      </c>
      <c r="AE64" s="27"/>
      <c r="AP64" s="1"/>
      <c r="AQ64" s="1"/>
      <c r="AR64" s="1"/>
      <c r="AS64" s="1"/>
      <c r="BF64" s="1"/>
      <c r="BG64" s="1"/>
    </row>
    <row r="65" spans="1:59" hidden="1" x14ac:dyDescent="0.2">
      <c r="A65" s="261" t="str">
        <f t="shared" si="43"/>
        <v/>
      </c>
      <c r="B65" s="412"/>
      <c r="C65" t="str">
        <f t="shared" ref="C65:D65" si="60">TRIM(PROPER(C24))</f>
        <v/>
      </c>
      <c r="D65" t="str">
        <f t="shared" si="60"/>
        <v/>
      </c>
      <c r="E65" s="1">
        <f t="shared" si="45"/>
        <v>0</v>
      </c>
      <c r="F65" t="str">
        <f t="shared" si="46"/>
        <v/>
      </c>
      <c r="G65" s="1">
        <f t="shared" si="47"/>
        <v>0</v>
      </c>
      <c r="H65" s="1">
        <f t="shared" si="48"/>
        <v>1</v>
      </c>
      <c r="I65" s="1"/>
      <c r="J65" s="1">
        <f t="shared" si="49"/>
        <v>1900</v>
      </c>
      <c r="K65" s="32">
        <f t="shared" si="35"/>
        <v>21</v>
      </c>
      <c r="L65" s="32">
        <f t="shared" si="36"/>
        <v>9</v>
      </c>
      <c r="M65" s="32">
        <f t="shared" si="37"/>
        <v>117</v>
      </c>
      <c r="N65" s="1">
        <f t="shared" si="50"/>
        <v>117.80753424657534</v>
      </c>
      <c r="O65" s="1" t="str">
        <f t="shared" si="38"/>
        <v/>
      </c>
      <c r="P65" s="1" t="str">
        <f t="shared" si="39"/>
        <v/>
      </c>
      <c r="Q65" t="str">
        <f t="shared" si="51"/>
        <v/>
      </c>
      <c r="R65" s="1" t="str">
        <f t="shared" si="40"/>
        <v/>
      </c>
      <c r="T65" s="1" t="str">
        <f t="shared" si="41"/>
        <v/>
      </c>
      <c r="U65" s="1" t="str">
        <f t="shared" si="42"/>
        <v/>
      </c>
      <c r="V65" t="str">
        <f t="shared" si="52"/>
        <v/>
      </c>
      <c r="X65" t="str">
        <f t="shared" si="53"/>
        <v/>
      </c>
      <c r="Y65" t="str">
        <f t="shared" si="54"/>
        <v/>
      </c>
      <c r="AB65" s="205" t="s">
        <v>256</v>
      </c>
      <c r="AE65" s="27"/>
      <c r="AP65" s="1"/>
      <c r="AQ65" s="1"/>
      <c r="AR65" s="1"/>
      <c r="AS65" s="1"/>
      <c r="BF65" s="1"/>
      <c r="BG65" s="1"/>
    </row>
    <row r="66" spans="1:59" hidden="1" x14ac:dyDescent="0.2">
      <c r="A66" s="261" t="str">
        <f t="shared" si="43"/>
        <v/>
      </c>
      <c r="B66" s="412"/>
      <c r="C66" t="str">
        <f t="shared" ref="C66:D66" si="61">TRIM(PROPER(C25))</f>
        <v/>
      </c>
      <c r="D66" t="str">
        <f t="shared" si="61"/>
        <v/>
      </c>
      <c r="E66" s="1">
        <f t="shared" si="45"/>
        <v>0</v>
      </c>
      <c r="F66" t="str">
        <f t="shared" si="46"/>
        <v/>
      </c>
      <c r="G66" s="1">
        <f t="shared" si="47"/>
        <v>0</v>
      </c>
      <c r="H66" s="1">
        <f t="shared" si="48"/>
        <v>1</v>
      </c>
      <c r="I66" s="1"/>
      <c r="J66" s="1">
        <f t="shared" si="49"/>
        <v>1900</v>
      </c>
      <c r="K66" s="32">
        <f t="shared" si="35"/>
        <v>21</v>
      </c>
      <c r="L66" s="32">
        <f t="shared" si="36"/>
        <v>9</v>
      </c>
      <c r="M66" s="32">
        <f t="shared" si="37"/>
        <v>117</v>
      </c>
      <c r="N66" s="1">
        <f t="shared" si="50"/>
        <v>117.80753424657534</v>
      </c>
      <c r="O66" s="1" t="str">
        <f t="shared" si="38"/>
        <v/>
      </c>
      <c r="P66" s="1" t="str">
        <f t="shared" si="39"/>
        <v/>
      </c>
      <c r="Q66" t="str">
        <f t="shared" si="51"/>
        <v/>
      </c>
      <c r="R66" s="1" t="str">
        <f t="shared" si="40"/>
        <v/>
      </c>
      <c r="T66" s="1" t="str">
        <f t="shared" si="41"/>
        <v/>
      </c>
      <c r="U66" s="1" t="str">
        <f t="shared" si="42"/>
        <v/>
      </c>
      <c r="V66" t="str">
        <f t="shared" si="52"/>
        <v/>
      </c>
      <c r="X66" t="str">
        <f t="shared" si="53"/>
        <v/>
      </c>
      <c r="Y66" t="str">
        <f t="shared" si="54"/>
        <v/>
      </c>
      <c r="AB66" s="205" t="s">
        <v>244</v>
      </c>
      <c r="AE66" s="27"/>
      <c r="AP66" s="1"/>
      <c r="AQ66" s="1"/>
      <c r="AR66" s="1"/>
      <c r="AS66" s="1"/>
      <c r="BF66" s="1"/>
      <c r="BG66" s="1"/>
    </row>
    <row r="67" spans="1:59" hidden="1" x14ac:dyDescent="0.2">
      <c r="A67" s="261" t="str">
        <f t="shared" si="43"/>
        <v/>
      </c>
      <c r="B67" s="412"/>
      <c r="C67" t="str">
        <f t="shared" ref="C67:D67" si="62">TRIM(PROPER(C26))</f>
        <v/>
      </c>
      <c r="D67" t="str">
        <f t="shared" si="62"/>
        <v/>
      </c>
      <c r="E67" s="1">
        <f t="shared" si="45"/>
        <v>0</v>
      </c>
      <c r="F67" t="str">
        <f t="shared" si="46"/>
        <v/>
      </c>
      <c r="G67" s="1">
        <f t="shared" si="47"/>
        <v>0</v>
      </c>
      <c r="H67" s="1">
        <f t="shared" si="48"/>
        <v>1</v>
      </c>
      <c r="I67" s="1"/>
      <c r="J67" s="1">
        <f t="shared" si="49"/>
        <v>1900</v>
      </c>
      <c r="K67" s="32">
        <f t="shared" si="35"/>
        <v>21</v>
      </c>
      <c r="L67" s="32">
        <f t="shared" si="36"/>
        <v>9</v>
      </c>
      <c r="M67" s="32">
        <f t="shared" si="37"/>
        <v>117</v>
      </c>
      <c r="N67" s="1">
        <f t="shared" si="50"/>
        <v>117.80753424657534</v>
      </c>
      <c r="O67" s="1" t="str">
        <f t="shared" si="38"/>
        <v/>
      </c>
      <c r="P67" s="1" t="str">
        <f t="shared" si="39"/>
        <v/>
      </c>
      <c r="Q67" t="str">
        <f t="shared" si="51"/>
        <v/>
      </c>
      <c r="R67" s="1" t="str">
        <f t="shared" si="40"/>
        <v/>
      </c>
      <c r="T67" s="1" t="str">
        <f t="shared" si="41"/>
        <v/>
      </c>
      <c r="U67" s="1" t="str">
        <f t="shared" si="42"/>
        <v/>
      </c>
      <c r="V67" t="str">
        <f t="shared" si="52"/>
        <v/>
      </c>
      <c r="X67" t="str">
        <f t="shared" si="53"/>
        <v/>
      </c>
      <c r="Y67" t="str">
        <f t="shared" si="54"/>
        <v/>
      </c>
      <c r="AB67" s="205" t="s">
        <v>245</v>
      </c>
      <c r="AE67" s="27"/>
      <c r="AP67" s="1"/>
      <c r="AQ67" s="1"/>
      <c r="AR67" s="1"/>
      <c r="AS67" s="1"/>
      <c r="BF67" s="1"/>
      <c r="BG67" s="1"/>
    </row>
    <row r="68" spans="1:59" hidden="1" x14ac:dyDescent="0.2">
      <c r="A68" s="261" t="str">
        <f t="shared" si="43"/>
        <v/>
      </c>
      <c r="B68" s="412"/>
      <c r="C68" t="str">
        <f t="shared" ref="C68:D68" si="63">TRIM(PROPER(C27))</f>
        <v/>
      </c>
      <c r="D68" t="str">
        <f t="shared" si="63"/>
        <v/>
      </c>
      <c r="E68" s="1">
        <f t="shared" si="45"/>
        <v>0</v>
      </c>
      <c r="F68" t="str">
        <f t="shared" si="46"/>
        <v/>
      </c>
      <c r="G68" s="1">
        <f t="shared" si="47"/>
        <v>0</v>
      </c>
      <c r="H68" s="1">
        <f t="shared" si="48"/>
        <v>1</v>
      </c>
      <c r="I68" s="1"/>
      <c r="J68" s="1">
        <f t="shared" si="49"/>
        <v>1900</v>
      </c>
      <c r="K68" s="32">
        <f t="shared" si="35"/>
        <v>21</v>
      </c>
      <c r="L68" s="32">
        <f t="shared" si="36"/>
        <v>9</v>
      </c>
      <c r="M68" s="32">
        <f t="shared" si="37"/>
        <v>117</v>
      </c>
      <c r="N68" s="1">
        <f t="shared" si="50"/>
        <v>117.80753424657534</v>
      </c>
      <c r="O68" s="1" t="str">
        <f t="shared" si="38"/>
        <v/>
      </c>
      <c r="P68" s="1" t="str">
        <f t="shared" si="39"/>
        <v/>
      </c>
      <c r="Q68" t="str">
        <f t="shared" si="51"/>
        <v/>
      </c>
      <c r="R68" s="1" t="str">
        <f t="shared" si="40"/>
        <v/>
      </c>
      <c r="T68" s="1" t="str">
        <f t="shared" si="41"/>
        <v/>
      </c>
      <c r="U68" s="1" t="str">
        <f t="shared" si="42"/>
        <v/>
      </c>
      <c r="V68" t="str">
        <f t="shared" si="52"/>
        <v/>
      </c>
      <c r="X68" t="str">
        <f t="shared" si="53"/>
        <v/>
      </c>
      <c r="Y68" t="str">
        <f t="shared" si="54"/>
        <v/>
      </c>
      <c r="AB68" s="205" t="s">
        <v>246</v>
      </c>
      <c r="AE68" s="27"/>
      <c r="AP68" s="1"/>
      <c r="AQ68" s="1"/>
      <c r="AR68" s="1"/>
      <c r="AS68" s="1"/>
      <c r="BF68" s="1"/>
      <c r="BG68" s="1"/>
    </row>
    <row r="69" spans="1:59" hidden="1" x14ac:dyDescent="0.2">
      <c r="A69" s="261" t="str">
        <f t="shared" si="43"/>
        <v/>
      </c>
      <c r="B69" s="412"/>
      <c r="C69" t="str">
        <f t="shared" ref="C69:D69" si="64">TRIM(PROPER(C28))</f>
        <v/>
      </c>
      <c r="D69" t="str">
        <f t="shared" si="64"/>
        <v/>
      </c>
      <c r="E69" s="1">
        <f t="shared" si="45"/>
        <v>0</v>
      </c>
      <c r="F69" t="str">
        <f t="shared" si="46"/>
        <v/>
      </c>
      <c r="G69" s="1">
        <f t="shared" si="47"/>
        <v>0</v>
      </c>
      <c r="H69" s="1">
        <f t="shared" si="48"/>
        <v>1</v>
      </c>
      <c r="I69" s="1"/>
      <c r="J69" s="1">
        <f t="shared" si="49"/>
        <v>1900</v>
      </c>
      <c r="K69" s="32">
        <f t="shared" si="35"/>
        <v>21</v>
      </c>
      <c r="L69" s="32">
        <f t="shared" si="36"/>
        <v>9</v>
      </c>
      <c r="M69" s="32">
        <f t="shared" si="37"/>
        <v>117</v>
      </c>
      <c r="N69" s="1">
        <f t="shared" si="50"/>
        <v>117.80753424657534</v>
      </c>
      <c r="O69" s="1" t="str">
        <f t="shared" si="38"/>
        <v/>
      </c>
      <c r="P69" s="1" t="str">
        <f t="shared" si="39"/>
        <v/>
      </c>
      <c r="Q69" t="str">
        <f t="shared" si="51"/>
        <v/>
      </c>
      <c r="R69" s="1" t="str">
        <f t="shared" si="40"/>
        <v/>
      </c>
      <c r="T69" s="1" t="str">
        <f t="shared" si="41"/>
        <v/>
      </c>
      <c r="U69" s="1" t="str">
        <f t="shared" si="42"/>
        <v/>
      </c>
      <c r="V69" t="str">
        <f t="shared" si="52"/>
        <v/>
      </c>
      <c r="X69" t="str">
        <f t="shared" si="53"/>
        <v/>
      </c>
      <c r="Y69" t="str">
        <f t="shared" si="54"/>
        <v/>
      </c>
      <c r="AB69" s="205" t="s">
        <v>247</v>
      </c>
      <c r="AE69" s="27"/>
      <c r="AP69" s="1"/>
      <c r="AQ69" s="1"/>
      <c r="AR69" s="1"/>
      <c r="AS69" s="1"/>
      <c r="BF69" s="1"/>
      <c r="BG69" s="1"/>
    </row>
    <row r="70" spans="1:59" hidden="1" x14ac:dyDescent="0.2">
      <c r="A70" s="261" t="str">
        <f t="shared" si="43"/>
        <v/>
      </c>
      <c r="B70" s="412"/>
      <c r="C70" t="str">
        <f t="shared" ref="C70:D70" si="65">TRIM(PROPER(C29))</f>
        <v/>
      </c>
      <c r="D70" t="str">
        <f t="shared" si="65"/>
        <v/>
      </c>
      <c r="E70" s="1">
        <f t="shared" si="45"/>
        <v>0</v>
      </c>
      <c r="F70" t="str">
        <f t="shared" si="46"/>
        <v/>
      </c>
      <c r="G70" s="1">
        <f t="shared" si="47"/>
        <v>0</v>
      </c>
      <c r="H70" s="1">
        <f t="shared" si="48"/>
        <v>1</v>
      </c>
      <c r="I70" s="1"/>
      <c r="J70" s="1">
        <f t="shared" si="49"/>
        <v>1900</v>
      </c>
      <c r="K70" s="32">
        <f t="shared" si="35"/>
        <v>21</v>
      </c>
      <c r="L70" s="32">
        <f t="shared" si="36"/>
        <v>9</v>
      </c>
      <c r="M70" s="32">
        <f t="shared" si="37"/>
        <v>117</v>
      </c>
      <c r="N70" s="1">
        <f t="shared" si="50"/>
        <v>117.80753424657534</v>
      </c>
      <c r="O70" s="1" t="str">
        <f>IF(C70&lt;&gt;"",INT(N70),"")</f>
        <v/>
      </c>
      <c r="P70" s="1" t="str">
        <f>IF(AND($O70&gt;18,$L29="N"),"",IF(AND(COUNTBLANK($K29)=1,$O70&lt;14),1,""))</f>
        <v/>
      </c>
      <c r="Q70" t="str">
        <f t="shared" si="51"/>
        <v/>
      </c>
      <c r="R70" s="1" t="str">
        <f t="shared" si="40"/>
        <v/>
      </c>
      <c r="T70" s="1" t="str">
        <f t="shared" si="41"/>
        <v/>
      </c>
      <c r="U70" s="1" t="str">
        <f>IF(AND($O70&gt;18,$L29="N"),"",IF(AND(COUNTBLANK($K29)=1,$C70&lt;&gt;"",$O70&gt;=25),1,""))</f>
        <v/>
      </c>
      <c r="V70" t="str">
        <f t="shared" si="52"/>
        <v/>
      </c>
      <c r="X70" t="str">
        <f t="shared" si="53"/>
        <v/>
      </c>
      <c r="Y70" t="str">
        <f t="shared" si="54"/>
        <v/>
      </c>
      <c r="AB70" s="205" t="s">
        <v>248</v>
      </c>
      <c r="AE70" s="27"/>
      <c r="AP70" s="1"/>
      <c r="AQ70" s="1"/>
      <c r="AR70" s="1"/>
      <c r="AS70" s="1"/>
      <c r="BF70" s="1"/>
      <c r="BG70" s="1"/>
    </row>
    <row r="71" spans="1:59" hidden="1" x14ac:dyDescent="0.2">
      <c r="A71" s="261" t="str">
        <f t="shared" si="43"/>
        <v/>
      </c>
      <c r="B71" s="412"/>
      <c r="C71" t="str">
        <f t="shared" ref="C71:D71" si="66">TRIM(PROPER(C30))</f>
        <v/>
      </c>
      <c r="D71" t="str">
        <f t="shared" si="66"/>
        <v/>
      </c>
      <c r="E71" s="1">
        <f t="shared" si="45"/>
        <v>0</v>
      </c>
      <c r="F71" t="str">
        <f t="shared" si="46"/>
        <v/>
      </c>
      <c r="G71" s="1">
        <f t="shared" si="47"/>
        <v>0</v>
      </c>
      <c r="H71" s="1">
        <f t="shared" si="48"/>
        <v>1</v>
      </c>
      <c r="I71" s="1"/>
      <c r="J71" s="1">
        <f t="shared" si="49"/>
        <v>1900</v>
      </c>
      <c r="K71" s="32">
        <f t="shared" si="35"/>
        <v>21</v>
      </c>
      <c r="L71" s="32">
        <f t="shared" si="36"/>
        <v>9</v>
      </c>
      <c r="M71" s="32">
        <f t="shared" si="37"/>
        <v>117</v>
      </c>
      <c r="N71" s="1">
        <f t="shared" si="50"/>
        <v>117.80753424657534</v>
      </c>
      <c r="O71" s="1" t="str">
        <f t="shared" ref="O71:O84" si="67">IF(C71&lt;&gt;"",INT(N71),"")</f>
        <v/>
      </c>
      <c r="P71" s="1" t="str">
        <f t="shared" si="39"/>
        <v/>
      </c>
      <c r="Q71" t="str">
        <f t="shared" si="51"/>
        <v/>
      </c>
      <c r="R71" s="1" t="str">
        <f t="shared" si="40"/>
        <v/>
      </c>
      <c r="T71" s="1" t="str">
        <f t="shared" si="41"/>
        <v/>
      </c>
      <c r="U71" s="1" t="str">
        <f t="shared" ref="U71:U84" si="68">IF(AND($O71&gt;18,$L30="N"),"",IF(AND(COUNTBLANK($K30)=1,$C71&lt;&gt;"",$O71&gt;=25),1,""))</f>
        <v/>
      </c>
      <c r="V71" t="str">
        <f t="shared" si="52"/>
        <v/>
      </c>
      <c r="X71" t="str">
        <f t="shared" si="53"/>
        <v/>
      </c>
      <c r="Y71" t="str">
        <f t="shared" si="54"/>
        <v/>
      </c>
      <c r="AB71" s="205" t="s">
        <v>249</v>
      </c>
      <c r="AE71" s="27"/>
      <c r="AP71" s="1"/>
      <c r="AQ71" s="1"/>
      <c r="AR71" s="1"/>
      <c r="AS71" s="1"/>
      <c r="BF71" s="1"/>
      <c r="BG71" s="1"/>
    </row>
    <row r="72" spans="1:59" hidden="1" x14ac:dyDescent="0.2">
      <c r="A72" s="261" t="str">
        <f t="shared" si="43"/>
        <v/>
      </c>
      <c r="B72" s="412"/>
      <c r="C72" t="str">
        <f t="shared" ref="C72:D72" si="69">TRIM(PROPER(C31))</f>
        <v/>
      </c>
      <c r="D72" t="str">
        <f t="shared" si="69"/>
        <v/>
      </c>
      <c r="E72" s="1">
        <f t="shared" si="45"/>
        <v>0</v>
      </c>
      <c r="F72" t="str">
        <f t="shared" si="46"/>
        <v/>
      </c>
      <c r="G72" s="1">
        <f t="shared" si="47"/>
        <v>0</v>
      </c>
      <c r="H72" s="1">
        <f t="shared" si="48"/>
        <v>1</v>
      </c>
      <c r="I72" s="1"/>
      <c r="J72" s="1">
        <f t="shared" si="49"/>
        <v>1900</v>
      </c>
      <c r="K72" s="32">
        <f t="shared" si="35"/>
        <v>21</v>
      </c>
      <c r="L72" s="32">
        <f t="shared" si="36"/>
        <v>9</v>
      </c>
      <c r="M72" s="32">
        <f t="shared" si="37"/>
        <v>117</v>
      </c>
      <c r="N72" s="1">
        <f t="shared" si="50"/>
        <v>117.80753424657534</v>
      </c>
      <c r="O72" s="1" t="str">
        <f t="shared" si="67"/>
        <v/>
      </c>
      <c r="P72" s="1" t="str">
        <f t="shared" si="39"/>
        <v/>
      </c>
      <c r="Q72" t="str">
        <f t="shared" si="51"/>
        <v/>
      </c>
      <c r="R72" s="1" t="str">
        <f t="shared" si="40"/>
        <v/>
      </c>
      <c r="T72" s="1" t="str">
        <f t="shared" si="41"/>
        <v/>
      </c>
      <c r="U72" s="1" t="str">
        <f t="shared" si="68"/>
        <v/>
      </c>
      <c r="V72" t="str">
        <f t="shared" si="52"/>
        <v/>
      </c>
      <c r="X72" t="str">
        <f t="shared" si="53"/>
        <v/>
      </c>
      <c r="Y72" t="str">
        <f t="shared" si="54"/>
        <v/>
      </c>
      <c r="AB72" s="217" t="s">
        <v>26</v>
      </c>
      <c r="AE72" s="27"/>
      <c r="AP72" s="1"/>
      <c r="AQ72" s="1"/>
      <c r="AR72" s="1"/>
      <c r="AS72" s="1"/>
      <c r="BF72" s="1"/>
      <c r="BG72" s="1"/>
    </row>
    <row r="73" spans="1:59" hidden="1" x14ac:dyDescent="0.2">
      <c r="A73" s="261" t="str">
        <f t="shared" si="43"/>
        <v/>
      </c>
      <c r="B73" s="412"/>
      <c r="C73" t="str">
        <f t="shared" ref="C73:D73" si="70">TRIM(PROPER(C32))</f>
        <v/>
      </c>
      <c r="D73" t="str">
        <f t="shared" si="70"/>
        <v/>
      </c>
      <c r="E73" s="1">
        <f t="shared" si="45"/>
        <v>0</v>
      </c>
      <c r="F73" t="str">
        <f t="shared" si="46"/>
        <v/>
      </c>
      <c r="G73" s="1">
        <f t="shared" si="47"/>
        <v>0</v>
      </c>
      <c r="H73" s="1">
        <f t="shared" si="48"/>
        <v>1</v>
      </c>
      <c r="I73" s="1"/>
      <c r="J73" s="1">
        <f t="shared" si="49"/>
        <v>1900</v>
      </c>
      <c r="K73" s="32">
        <f t="shared" si="35"/>
        <v>21</v>
      </c>
      <c r="L73" s="32">
        <f t="shared" si="36"/>
        <v>9</v>
      </c>
      <c r="M73" s="32">
        <f t="shared" si="37"/>
        <v>117</v>
      </c>
      <c r="N73" s="1">
        <f t="shared" si="50"/>
        <v>117.80753424657534</v>
      </c>
      <c r="O73" s="1" t="str">
        <f t="shared" si="67"/>
        <v/>
      </c>
      <c r="P73" s="1" t="str">
        <f t="shared" si="39"/>
        <v/>
      </c>
      <c r="Q73" t="str">
        <f t="shared" si="51"/>
        <v/>
      </c>
      <c r="R73" s="1" t="str">
        <f t="shared" si="40"/>
        <v/>
      </c>
      <c r="T73" s="1" t="str">
        <f t="shared" si="41"/>
        <v/>
      </c>
      <c r="U73" s="1" t="str">
        <f t="shared" si="68"/>
        <v/>
      </c>
      <c r="V73" t="str">
        <f t="shared" si="52"/>
        <v/>
      </c>
      <c r="X73" t="str">
        <f t="shared" si="53"/>
        <v/>
      </c>
      <c r="Y73" t="str">
        <f t="shared" si="54"/>
        <v/>
      </c>
      <c r="AB73" s="217" t="s">
        <v>29</v>
      </c>
      <c r="AE73" s="27"/>
      <c r="AP73" s="1"/>
      <c r="AQ73" s="1"/>
      <c r="AR73" s="1"/>
      <c r="AS73" s="1"/>
      <c r="BF73" s="1"/>
      <c r="BG73" s="1"/>
    </row>
    <row r="74" spans="1:59" hidden="1" x14ac:dyDescent="0.2">
      <c r="A74" s="261" t="str">
        <f t="shared" si="43"/>
        <v/>
      </c>
      <c r="B74" s="412"/>
      <c r="C74" t="str">
        <f t="shared" ref="C74:D74" si="71">TRIM(PROPER(C33))</f>
        <v/>
      </c>
      <c r="D74" t="str">
        <f t="shared" si="71"/>
        <v/>
      </c>
      <c r="E74" s="1">
        <f t="shared" si="45"/>
        <v>0</v>
      </c>
      <c r="F74" t="str">
        <f t="shared" si="46"/>
        <v/>
      </c>
      <c r="G74" s="1">
        <f t="shared" si="47"/>
        <v>0</v>
      </c>
      <c r="H74" s="1">
        <f t="shared" si="48"/>
        <v>1</v>
      </c>
      <c r="I74" s="1"/>
      <c r="J74" s="1">
        <f t="shared" si="49"/>
        <v>1900</v>
      </c>
      <c r="K74" s="32">
        <f t="shared" si="35"/>
        <v>21</v>
      </c>
      <c r="L74" s="32">
        <f t="shared" si="36"/>
        <v>9</v>
      </c>
      <c r="M74" s="32">
        <f t="shared" si="37"/>
        <v>117</v>
      </c>
      <c r="N74" s="1">
        <f t="shared" si="50"/>
        <v>117.80753424657534</v>
      </c>
      <c r="O74" s="1" t="str">
        <f t="shared" si="67"/>
        <v/>
      </c>
      <c r="P74" s="1" t="str">
        <f t="shared" si="39"/>
        <v/>
      </c>
      <c r="Q74" t="str">
        <f t="shared" si="51"/>
        <v/>
      </c>
      <c r="R74" s="1" t="str">
        <f t="shared" si="40"/>
        <v/>
      </c>
      <c r="T74" s="1" t="str">
        <f t="shared" si="41"/>
        <v/>
      </c>
      <c r="U74" s="1" t="str">
        <f t="shared" si="68"/>
        <v/>
      </c>
      <c r="V74" t="str">
        <f t="shared" si="52"/>
        <v/>
      </c>
      <c r="X74" t="str">
        <f t="shared" si="53"/>
        <v/>
      </c>
      <c r="Y74" t="str">
        <f t="shared" si="54"/>
        <v/>
      </c>
      <c r="AE74" s="27"/>
      <c r="AP74" s="1"/>
      <c r="AQ74" s="1"/>
      <c r="AR74" s="1"/>
      <c r="AS74" s="1"/>
      <c r="BF74" s="1"/>
      <c r="BG74" s="1"/>
    </row>
    <row r="75" spans="1:59" hidden="1" x14ac:dyDescent="0.2">
      <c r="A75" s="261" t="str">
        <f t="shared" si="43"/>
        <v/>
      </c>
      <c r="B75" s="412"/>
      <c r="C75" t="str">
        <f t="shared" ref="C75:D75" si="72">TRIM(PROPER(C34))</f>
        <v/>
      </c>
      <c r="D75" t="str">
        <f t="shared" si="72"/>
        <v/>
      </c>
      <c r="E75" s="1">
        <f t="shared" si="45"/>
        <v>0</v>
      </c>
      <c r="F75" t="str">
        <f t="shared" si="46"/>
        <v/>
      </c>
      <c r="G75" s="1">
        <f t="shared" si="47"/>
        <v>0</v>
      </c>
      <c r="H75" s="1">
        <f t="shared" si="48"/>
        <v>1</v>
      </c>
      <c r="I75" s="1"/>
      <c r="J75" s="1">
        <f t="shared" si="49"/>
        <v>1900</v>
      </c>
      <c r="K75" s="32">
        <f t="shared" si="35"/>
        <v>21</v>
      </c>
      <c r="L75" s="32">
        <f t="shared" si="36"/>
        <v>9</v>
      </c>
      <c r="M75" s="32">
        <f t="shared" si="37"/>
        <v>117</v>
      </c>
      <c r="N75" s="1">
        <f t="shared" si="50"/>
        <v>117.80753424657534</v>
      </c>
      <c r="O75" s="1" t="str">
        <f t="shared" si="67"/>
        <v/>
      </c>
      <c r="P75" s="1" t="str">
        <f t="shared" si="39"/>
        <v/>
      </c>
      <c r="Q75" t="str">
        <f t="shared" si="51"/>
        <v/>
      </c>
      <c r="R75" s="1" t="str">
        <f t="shared" si="40"/>
        <v/>
      </c>
      <c r="T75" s="1" t="str">
        <f t="shared" si="41"/>
        <v/>
      </c>
      <c r="U75" s="1" t="str">
        <f t="shared" si="68"/>
        <v/>
      </c>
      <c r="V75" t="str">
        <f t="shared" si="52"/>
        <v/>
      </c>
      <c r="X75" t="str">
        <f t="shared" si="53"/>
        <v/>
      </c>
      <c r="Y75" t="str">
        <f t="shared" si="54"/>
        <v/>
      </c>
      <c r="AE75" s="27"/>
      <c r="AP75" s="1"/>
      <c r="AQ75" s="1"/>
      <c r="AR75" s="1"/>
      <c r="AS75" s="1"/>
      <c r="BF75" s="1"/>
      <c r="BG75" s="1"/>
    </row>
    <row r="76" spans="1:59" hidden="1" x14ac:dyDescent="0.2">
      <c r="A76" s="261" t="str">
        <f t="shared" si="43"/>
        <v/>
      </c>
      <c r="B76" s="412"/>
      <c r="C76" t="str">
        <f t="shared" ref="C76:D76" si="73">TRIM(PROPER(C35))</f>
        <v/>
      </c>
      <c r="D76" t="str">
        <f t="shared" si="73"/>
        <v/>
      </c>
      <c r="E76" s="1">
        <f t="shared" si="45"/>
        <v>0</v>
      </c>
      <c r="F76" t="str">
        <f t="shared" si="46"/>
        <v/>
      </c>
      <c r="G76" s="1">
        <f t="shared" si="47"/>
        <v>0</v>
      </c>
      <c r="H76" s="1">
        <f t="shared" si="48"/>
        <v>1</v>
      </c>
      <c r="I76" s="1"/>
      <c r="J76" s="1">
        <f t="shared" si="49"/>
        <v>1900</v>
      </c>
      <c r="K76" s="32">
        <f t="shared" si="35"/>
        <v>21</v>
      </c>
      <c r="L76" s="32">
        <f t="shared" si="36"/>
        <v>9</v>
      </c>
      <c r="M76" s="32">
        <f t="shared" si="37"/>
        <v>117</v>
      </c>
      <c r="N76" s="1">
        <f t="shared" si="50"/>
        <v>117.80753424657534</v>
      </c>
      <c r="O76" s="1" t="str">
        <f t="shared" si="67"/>
        <v/>
      </c>
      <c r="P76" s="1" t="str">
        <f t="shared" si="39"/>
        <v/>
      </c>
      <c r="Q76" t="str">
        <f t="shared" si="51"/>
        <v/>
      </c>
      <c r="R76" s="1" t="str">
        <f t="shared" si="40"/>
        <v/>
      </c>
      <c r="T76" s="1" t="str">
        <f t="shared" si="41"/>
        <v/>
      </c>
      <c r="U76" s="1" t="str">
        <f t="shared" si="68"/>
        <v/>
      </c>
      <c r="V76" t="str">
        <f t="shared" si="52"/>
        <v/>
      </c>
      <c r="X76" t="str">
        <f t="shared" si="53"/>
        <v/>
      </c>
      <c r="Y76" t="str">
        <f t="shared" si="54"/>
        <v/>
      </c>
      <c r="AE76" s="27"/>
      <c r="AP76" s="1"/>
      <c r="AQ76" s="1"/>
      <c r="AR76" s="1"/>
      <c r="AS76" s="1"/>
      <c r="BF76" s="1"/>
      <c r="BG76" s="1"/>
    </row>
    <row r="77" spans="1:59" hidden="1" x14ac:dyDescent="0.2">
      <c r="A77" s="261" t="str">
        <f t="shared" si="43"/>
        <v/>
      </c>
      <c r="B77" s="412"/>
      <c r="C77" t="str">
        <f t="shared" ref="C77:D77" si="74">TRIM(PROPER(C36))</f>
        <v/>
      </c>
      <c r="D77" t="str">
        <f t="shared" si="74"/>
        <v/>
      </c>
      <c r="E77" s="1">
        <f t="shared" si="45"/>
        <v>0</v>
      </c>
      <c r="F77" t="str">
        <f t="shared" si="46"/>
        <v/>
      </c>
      <c r="G77" s="1">
        <f t="shared" si="47"/>
        <v>0</v>
      </c>
      <c r="H77" s="1">
        <f t="shared" si="48"/>
        <v>1</v>
      </c>
      <c r="I77" s="1"/>
      <c r="J77" s="1">
        <f t="shared" si="49"/>
        <v>1900</v>
      </c>
      <c r="K77" s="32">
        <f t="shared" si="35"/>
        <v>21</v>
      </c>
      <c r="L77" s="32">
        <f t="shared" si="36"/>
        <v>9</v>
      </c>
      <c r="M77" s="32">
        <f t="shared" si="37"/>
        <v>117</v>
      </c>
      <c r="N77" s="1">
        <f t="shared" si="50"/>
        <v>117.80753424657534</v>
      </c>
      <c r="O77" s="1" t="str">
        <f t="shared" si="67"/>
        <v/>
      </c>
      <c r="P77" s="1" t="str">
        <f t="shared" si="39"/>
        <v/>
      </c>
      <c r="Q77" t="str">
        <f t="shared" si="51"/>
        <v/>
      </c>
      <c r="R77" s="1" t="str">
        <f t="shared" si="40"/>
        <v/>
      </c>
      <c r="T77" s="1" t="str">
        <f t="shared" si="41"/>
        <v/>
      </c>
      <c r="U77" s="1" t="str">
        <f t="shared" si="68"/>
        <v/>
      </c>
      <c r="V77" t="str">
        <f t="shared" si="52"/>
        <v/>
      </c>
      <c r="X77" t="str">
        <f t="shared" si="53"/>
        <v/>
      </c>
      <c r="Y77" t="str">
        <f t="shared" si="54"/>
        <v/>
      </c>
      <c r="AE77" s="27"/>
      <c r="AP77" s="1"/>
      <c r="AQ77" s="1"/>
      <c r="AR77" s="1"/>
      <c r="AS77" s="1"/>
      <c r="BF77" s="1"/>
      <c r="BG77" s="1"/>
    </row>
    <row r="78" spans="1:59" hidden="1" x14ac:dyDescent="0.2">
      <c r="A78" s="261" t="str">
        <f t="shared" si="43"/>
        <v/>
      </c>
      <c r="B78" s="412"/>
      <c r="C78" t="str">
        <f t="shared" ref="C78:D78" si="75">TRIM(PROPER(C37))</f>
        <v/>
      </c>
      <c r="D78" t="str">
        <f t="shared" si="75"/>
        <v/>
      </c>
      <c r="E78" s="1">
        <f t="shared" si="45"/>
        <v>0</v>
      </c>
      <c r="F78" t="str">
        <f t="shared" si="46"/>
        <v/>
      </c>
      <c r="G78" s="1">
        <f t="shared" si="47"/>
        <v>0</v>
      </c>
      <c r="H78" s="1">
        <f t="shared" si="48"/>
        <v>1</v>
      </c>
      <c r="I78" s="1"/>
      <c r="J78" s="1">
        <f t="shared" si="49"/>
        <v>1900</v>
      </c>
      <c r="K78" s="32">
        <f t="shared" si="35"/>
        <v>21</v>
      </c>
      <c r="L78" s="32">
        <f t="shared" si="36"/>
        <v>9</v>
      </c>
      <c r="M78" s="32">
        <f t="shared" si="37"/>
        <v>117</v>
      </c>
      <c r="N78" s="1">
        <f t="shared" si="50"/>
        <v>117.80753424657534</v>
      </c>
      <c r="O78" s="1" t="str">
        <f t="shared" si="67"/>
        <v/>
      </c>
      <c r="P78" s="1" t="str">
        <f t="shared" si="39"/>
        <v/>
      </c>
      <c r="Q78" t="str">
        <f t="shared" si="51"/>
        <v/>
      </c>
      <c r="R78" s="1" t="str">
        <f t="shared" si="40"/>
        <v/>
      </c>
      <c r="T78" s="1" t="str">
        <f t="shared" si="41"/>
        <v/>
      </c>
      <c r="U78" s="1" t="str">
        <f t="shared" si="68"/>
        <v/>
      </c>
      <c r="V78" t="str">
        <f t="shared" si="52"/>
        <v/>
      </c>
      <c r="X78" t="str">
        <f t="shared" si="53"/>
        <v/>
      </c>
      <c r="Y78" t="str">
        <f t="shared" si="54"/>
        <v/>
      </c>
      <c r="AE78" s="27"/>
      <c r="AP78" s="1"/>
      <c r="AQ78" s="1"/>
      <c r="AR78" s="1"/>
      <c r="AS78" s="1"/>
      <c r="BF78" s="1"/>
      <c r="BG78" s="1"/>
    </row>
    <row r="79" spans="1:59" hidden="1" x14ac:dyDescent="0.2">
      <c r="A79" s="261" t="str">
        <f t="shared" si="43"/>
        <v/>
      </c>
      <c r="B79" s="412"/>
      <c r="C79" t="str">
        <f t="shared" ref="C79:D79" si="76">TRIM(PROPER(C38))</f>
        <v/>
      </c>
      <c r="D79" t="str">
        <f t="shared" si="76"/>
        <v/>
      </c>
      <c r="E79" s="1">
        <f t="shared" si="45"/>
        <v>0</v>
      </c>
      <c r="F79" t="str">
        <f t="shared" si="46"/>
        <v/>
      </c>
      <c r="G79" s="1">
        <f t="shared" si="47"/>
        <v>0</v>
      </c>
      <c r="H79" s="1">
        <f t="shared" si="48"/>
        <v>1</v>
      </c>
      <c r="I79" s="1"/>
      <c r="J79" s="1">
        <f t="shared" si="49"/>
        <v>1900</v>
      </c>
      <c r="K79" s="32">
        <f t="shared" si="35"/>
        <v>21</v>
      </c>
      <c r="L79" s="32">
        <f t="shared" si="36"/>
        <v>9</v>
      </c>
      <c r="M79" s="32">
        <f t="shared" si="37"/>
        <v>117</v>
      </c>
      <c r="N79" s="1">
        <f t="shared" si="50"/>
        <v>117.80753424657534</v>
      </c>
      <c r="O79" s="1" t="str">
        <f t="shared" si="67"/>
        <v/>
      </c>
      <c r="P79" s="1" t="str">
        <f t="shared" si="39"/>
        <v/>
      </c>
      <c r="Q79" t="str">
        <f t="shared" si="51"/>
        <v/>
      </c>
      <c r="R79" s="1" t="str">
        <f t="shared" si="40"/>
        <v/>
      </c>
      <c r="T79" s="1" t="str">
        <f t="shared" si="41"/>
        <v/>
      </c>
      <c r="U79" s="1" t="str">
        <f t="shared" si="68"/>
        <v/>
      </c>
      <c r="V79" t="str">
        <f t="shared" si="52"/>
        <v/>
      </c>
      <c r="X79" t="str">
        <f t="shared" si="53"/>
        <v/>
      </c>
      <c r="Y79" t="str">
        <f t="shared" si="54"/>
        <v/>
      </c>
      <c r="AE79" s="27"/>
      <c r="AP79" s="1"/>
      <c r="AQ79" s="1"/>
      <c r="AR79" s="1"/>
      <c r="AS79" s="1"/>
      <c r="BF79" s="1"/>
      <c r="BG79" s="1"/>
    </row>
    <row r="80" spans="1:59" hidden="1" x14ac:dyDescent="0.2">
      <c r="A80" s="261" t="str">
        <f t="shared" si="43"/>
        <v/>
      </c>
      <c r="B80" s="412"/>
      <c r="C80" t="str">
        <f t="shared" ref="C80:D80" si="77">TRIM(PROPER(C39))</f>
        <v/>
      </c>
      <c r="D80" t="str">
        <f t="shared" si="77"/>
        <v/>
      </c>
      <c r="E80" s="1">
        <f t="shared" si="45"/>
        <v>0</v>
      </c>
      <c r="F80" t="str">
        <f t="shared" si="46"/>
        <v/>
      </c>
      <c r="G80" s="1">
        <f t="shared" si="47"/>
        <v>0</v>
      </c>
      <c r="H80" s="1">
        <f t="shared" si="48"/>
        <v>1</v>
      </c>
      <c r="I80" s="1"/>
      <c r="J80" s="1">
        <f t="shared" si="49"/>
        <v>1900</v>
      </c>
      <c r="K80" s="32">
        <f t="shared" si="35"/>
        <v>21</v>
      </c>
      <c r="L80" s="32">
        <f t="shared" si="36"/>
        <v>9</v>
      </c>
      <c r="M80" s="32">
        <f t="shared" si="37"/>
        <v>117</v>
      </c>
      <c r="N80" s="1">
        <f t="shared" si="50"/>
        <v>117.80753424657534</v>
      </c>
      <c r="O80" s="1" t="str">
        <f t="shared" si="67"/>
        <v/>
      </c>
      <c r="P80" s="1" t="str">
        <f t="shared" si="39"/>
        <v/>
      </c>
      <c r="Q80" t="str">
        <f t="shared" si="51"/>
        <v/>
      </c>
      <c r="R80" s="1" t="str">
        <f t="shared" si="40"/>
        <v/>
      </c>
      <c r="T80" s="1" t="str">
        <f t="shared" si="41"/>
        <v/>
      </c>
      <c r="U80" s="1" t="str">
        <f t="shared" si="68"/>
        <v/>
      </c>
      <c r="V80" t="str">
        <f t="shared" si="52"/>
        <v/>
      </c>
      <c r="X80" t="str">
        <f t="shared" si="53"/>
        <v/>
      </c>
      <c r="Y80" t="str">
        <f t="shared" si="54"/>
        <v/>
      </c>
      <c r="AE80" s="27"/>
      <c r="AP80" s="1"/>
      <c r="AQ80" s="1"/>
      <c r="AR80" s="1"/>
      <c r="AS80" s="1"/>
      <c r="BF80" s="1"/>
      <c r="BG80" s="1"/>
    </row>
    <row r="81" spans="1:63" hidden="1" x14ac:dyDescent="0.2">
      <c r="A81" s="261" t="str">
        <f t="shared" si="43"/>
        <v/>
      </c>
      <c r="B81" s="412"/>
      <c r="C81" t="str">
        <f t="shared" ref="C81:D81" si="78">TRIM(PROPER(C40))</f>
        <v/>
      </c>
      <c r="D81" t="str">
        <f t="shared" si="78"/>
        <v/>
      </c>
      <c r="E81" s="1">
        <f t="shared" si="45"/>
        <v>0</v>
      </c>
      <c r="F81" t="str">
        <f t="shared" si="46"/>
        <v/>
      </c>
      <c r="G81" s="1">
        <f t="shared" si="47"/>
        <v>0</v>
      </c>
      <c r="H81" s="1">
        <f t="shared" si="48"/>
        <v>1</v>
      </c>
      <c r="I81" s="1"/>
      <c r="J81" s="1">
        <f t="shared" si="49"/>
        <v>1900</v>
      </c>
      <c r="K81" s="32">
        <f t="shared" si="35"/>
        <v>21</v>
      </c>
      <c r="L81" s="32">
        <f t="shared" si="36"/>
        <v>9</v>
      </c>
      <c r="M81" s="32">
        <f t="shared" si="37"/>
        <v>117</v>
      </c>
      <c r="N81" s="1">
        <f t="shared" si="50"/>
        <v>117.80753424657534</v>
      </c>
      <c r="O81" s="1" t="str">
        <f t="shared" si="67"/>
        <v/>
      </c>
      <c r="P81" s="1" t="str">
        <f t="shared" si="39"/>
        <v/>
      </c>
      <c r="Q81" t="str">
        <f t="shared" si="51"/>
        <v/>
      </c>
      <c r="R81" s="1" t="str">
        <f t="shared" si="40"/>
        <v/>
      </c>
      <c r="T81" s="1" t="str">
        <f t="shared" si="41"/>
        <v/>
      </c>
      <c r="U81" s="1" t="str">
        <f t="shared" si="68"/>
        <v/>
      </c>
      <c r="V81" t="str">
        <f t="shared" si="52"/>
        <v/>
      </c>
      <c r="X81" t="str">
        <f t="shared" si="53"/>
        <v/>
      </c>
      <c r="Y81" t="str">
        <f t="shared" si="54"/>
        <v/>
      </c>
      <c r="AE81" s="27"/>
      <c r="AP81" s="1"/>
      <c r="AQ81" s="1"/>
      <c r="AR81" s="1"/>
      <c r="AS81" s="1"/>
      <c r="BF81" s="1"/>
      <c r="BG81" s="1"/>
    </row>
    <row r="82" spans="1:63" hidden="1" x14ac:dyDescent="0.2">
      <c r="A82" s="261" t="str">
        <f t="shared" si="43"/>
        <v/>
      </c>
      <c r="B82" s="412"/>
      <c r="C82" t="str">
        <f t="shared" ref="C82:D82" si="79">TRIM(PROPER(C41))</f>
        <v/>
      </c>
      <c r="D82" t="str">
        <f t="shared" si="79"/>
        <v/>
      </c>
      <c r="E82" s="1">
        <f t="shared" si="45"/>
        <v>0</v>
      </c>
      <c r="F82" t="str">
        <f t="shared" si="46"/>
        <v/>
      </c>
      <c r="G82" s="1">
        <f t="shared" si="47"/>
        <v>0</v>
      </c>
      <c r="H82" s="1">
        <f t="shared" si="48"/>
        <v>1</v>
      </c>
      <c r="I82" s="1"/>
      <c r="J82" s="1">
        <f t="shared" si="49"/>
        <v>1900</v>
      </c>
      <c r="K82" s="32">
        <f t="shared" si="35"/>
        <v>21</v>
      </c>
      <c r="L82" s="32">
        <f t="shared" si="36"/>
        <v>9</v>
      </c>
      <c r="M82" s="32">
        <f t="shared" si="37"/>
        <v>117</v>
      </c>
      <c r="N82" s="1">
        <f t="shared" si="50"/>
        <v>117.80753424657534</v>
      </c>
      <c r="O82" s="1" t="str">
        <f t="shared" si="67"/>
        <v/>
      </c>
      <c r="P82" s="1" t="str">
        <f t="shared" si="39"/>
        <v/>
      </c>
      <c r="Q82" t="str">
        <f t="shared" si="51"/>
        <v/>
      </c>
      <c r="R82" s="1" t="str">
        <f t="shared" si="40"/>
        <v/>
      </c>
      <c r="T82" s="1" t="str">
        <f t="shared" si="41"/>
        <v/>
      </c>
      <c r="U82" s="1" t="str">
        <f t="shared" si="68"/>
        <v/>
      </c>
      <c r="V82" t="str">
        <f t="shared" si="52"/>
        <v/>
      </c>
      <c r="AE82" s="27"/>
      <c r="AP82" s="1"/>
      <c r="AQ82" s="1"/>
      <c r="AR82" s="1"/>
      <c r="AS82" s="1"/>
      <c r="BF82" s="1"/>
      <c r="BG82" s="1"/>
    </row>
    <row r="83" spans="1:63" hidden="1" x14ac:dyDescent="0.2">
      <c r="A83" s="261" t="str">
        <f t="shared" si="43"/>
        <v/>
      </c>
      <c r="B83" s="412"/>
      <c r="C83" t="str">
        <f t="shared" ref="C83:D83" si="80">TRIM(PROPER(C42))</f>
        <v/>
      </c>
      <c r="D83" t="str">
        <f t="shared" si="80"/>
        <v/>
      </c>
      <c r="E83" s="1">
        <f t="shared" si="45"/>
        <v>0</v>
      </c>
      <c r="F83" t="str">
        <f t="shared" si="46"/>
        <v/>
      </c>
      <c r="G83" s="1">
        <f t="shared" si="47"/>
        <v>0</v>
      </c>
      <c r="H83" s="1">
        <f t="shared" si="48"/>
        <v>1</v>
      </c>
      <c r="I83" s="1"/>
      <c r="J83" s="1">
        <f t="shared" si="49"/>
        <v>1900</v>
      </c>
      <c r="K83" s="32">
        <f t="shared" si="35"/>
        <v>21</v>
      </c>
      <c r="L83" s="32">
        <f t="shared" si="36"/>
        <v>9</v>
      </c>
      <c r="M83" s="32">
        <f t="shared" si="37"/>
        <v>117</v>
      </c>
      <c r="N83" s="1">
        <f t="shared" si="50"/>
        <v>117.80753424657534</v>
      </c>
      <c r="O83" s="1" t="str">
        <f t="shared" si="67"/>
        <v/>
      </c>
      <c r="P83" s="1" t="str">
        <f t="shared" si="39"/>
        <v/>
      </c>
      <c r="Q83" t="str">
        <f t="shared" si="51"/>
        <v/>
      </c>
      <c r="R83" s="1" t="str">
        <f t="shared" si="40"/>
        <v/>
      </c>
      <c r="T83" s="1" t="str">
        <f t="shared" si="41"/>
        <v/>
      </c>
      <c r="U83" s="1" t="str">
        <f t="shared" si="68"/>
        <v/>
      </c>
      <c r="V83" t="str">
        <f t="shared" si="52"/>
        <v/>
      </c>
      <c r="AE83" s="27"/>
      <c r="AP83" s="1"/>
      <c r="AQ83" s="1"/>
      <c r="AR83" s="1"/>
      <c r="AS83" s="1"/>
      <c r="BF83" s="1"/>
      <c r="BG83" s="1"/>
    </row>
    <row r="84" spans="1:63" ht="13.5" hidden="1" thickBot="1" x14ac:dyDescent="0.25">
      <c r="A84" s="261" t="str">
        <f t="shared" si="43"/>
        <v/>
      </c>
      <c r="B84" s="412"/>
      <c r="C84" t="str">
        <f t="shared" ref="C84:D84" si="81">TRIM(PROPER(C43))</f>
        <v/>
      </c>
      <c r="D84" t="str">
        <f t="shared" si="81"/>
        <v/>
      </c>
      <c r="E84" s="1">
        <f t="shared" si="45"/>
        <v>0</v>
      </c>
      <c r="F84" t="str">
        <f t="shared" si="46"/>
        <v/>
      </c>
      <c r="G84" s="1">
        <f t="shared" si="47"/>
        <v>0</v>
      </c>
      <c r="H84" s="1">
        <f t="shared" si="48"/>
        <v>1</v>
      </c>
      <c r="I84" s="1"/>
      <c r="J84" s="1">
        <f t="shared" si="49"/>
        <v>1900</v>
      </c>
      <c r="K84" s="32">
        <f t="shared" si="35"/>
        <v>21</v>
      </c>
      <c r="L84" s="32">
        <f t="shared" si="36"/>
        <v>9</v>
      </c>
      <c r="M84" s="32">
        <f t="shared" si="37"/>
        <v>117</v>
      </c>
      <c r="N84" s="1">
        <f t="shared" si="50"/>
        <v>117.80753424657534</v>
      </c>
      <c r="O84" s="1" t="str">
        <f t="shared" si="67"/>
        <v/>
      </c>
      <c r="P84" s="1" t="str">
        <f t="shared" si="39"/>
        <v/>
      </c>
      <c r="Q84" t="str">
        <f t="shared" si="51"/>
        <v/>
      </c>
      <c r="R84" s="1" t="str">
        <f t="shared" si="40"/>
        <v/>
      </c>
      <c r="T84" s="1" t="str">
        <f t="shared" si="41"/>
        <v/>
      </c>
      <c r="U84" s="1" t="str">
        <f t="shared" si="68"/>
        <v/>
      </c>
      <c r="V84" t="str">
        <f t="shared" si="52"/>
        <v/>
      </c>
      <c r="AE84" s="27"/>
      <c r="AP84" s="1"/>
      <c r="AQ84" s="1"/>
      <c r="AR84" s="1"/>
      <c r="AS84" s="1"/>
      <c r="BF84" s="1"/>
      <c r="BG84" s="1"/>
    </row>
    <row r="85" spans="1:63" ht="24.75" hidden="1" thickBot="1" x14ac:dyDescent="0.25">
      <c r="A85" s="257"/>
      <c r="H85" s="482" t="s">
        <v>332</v>
      </c>
      <c r="I85" s="483"/>
      <c r="J85" s="484"/>
      <c r="K85" s="484"/>
      <c r="L85" s="484"/>
      <c r="M85" s="484"/>
      <c r="N85" s="484"/>
      <c r="O85" s="484"/>
      <c r="P85" s="113">
        <f>SUM(P58:P82)</f>
        <v>0</v>
      </c>
      <c r="Q85" s="114">
        <f>SUM(Q58:Q82)</f>
        <v>0</v>
      </c>
      <c r="R85" s="100">
        <f>SUM(R58:R82)</f>
        <v>0</v>
      </c>
      <c r="S85" s="114">
        <f>T85+U85</f>
        <v>0</v>
      </c>
      <c r="T85" s="100">
        <f>SUM(T58:T82)</f>
        <v>0</v>
      </c>
      <c r="U85" s="101">
        <f>SUM(U58:U82)</f>
        <v>0</v>
      </c>
      <c r="V85" s="115">
        <f>SUM(P85,R85,T85:U85)</f>
        <v>0</v>
      </c>
      <c r="W85" s="117"/>
      <c r="X85" s="425" t="s">
        <v>825</v>
      </c>
      <c r="Y85" s="425" t="s">
        <v>1014</v>
      </c>
      <c r="AE85" s="27"/>
      <c r="AP85" s="1"/>
      <c r="AQ85" s="1"/>
      <c r="AR85" s="1"/>
      <c r="AS85" s="1"/>
      <c r="BF85" s="1"/>
      <c r="BG85" s="1"/>
    </row>
    <row r="86" spans="1:63" hidden="1" x14ac:dyDescent="0.2">
      <c r="A86" s="257"/>
      <c r="AE86" s="27"/>
      <c r="AP86" s="1"/>
      <c r="AQ86" s="1"/>
      <c r="AR86" s="1"/>
      <c r="AS86" s="1"/>
      <c r="BF86" s="1"/>
      <c r="BG86" s="1"/>
    </row>
    <row r="87" spans="1:63" s="425" customFormat="1" ht="48" hidden="1" x14ac:dyDescent="0.2">
      <c r="A87" s="423"/>
      <c r="B87" s="424"/>
      <c r="C87" s="425" t="s">
        <v>22</v>
      </c>
      <c r="D87" s="425" t="s">
        <v>23</v>
      </c>
      <c r="E87" s="429" t="s">
        <v>2</v>
      </c>
      <c r="F87" s="425" t="s">
        <v>3</v>
      </c>
      <c r="G87" s="425" t="s">
        <v>814</v>
      </c>
      <c r="H87" s="425" t="s">
        <v>815</v>
      </c>
      <c r="I87" s="425" t="s">
        <v>818</v>
      </c>
      <c r="J87" s="425" t="s">
        <v>816</v>
      </c>
      <c r="K87" s="425" t="s">
        <v>817</v>
      </c>
      <c r="L87" s="425" t="s">
        <v>820</v>
      </c>
      <c r="M87" s="425" t="s">
        <v>414</v>
      </c>
      <c r="N87" s="425" t="s">
        <v>12</v>
      </c>
      <c r="O87" s="425" t="s">
        <v>819</v>
      </c>
      <c r="P87" s="425" t="s">
        <v>24</v>
      </c>
      <c r="Q87" s="425" t="s">
        <v>25</v>
      </c>
      <c r="R87" s="425" t="s">
        <v>16</v>
      </c>
      <c r="S87" s="425" t="s">
        <v>822</v>
      </c>
      <c r="T87" s="425" t="s">
        <v>823</v>
      </c>
      <c r="U87" s="425" t="s">
        <v>824</v>
      </c>
      <c r="V87" s="425" t="s">
        <v>1012</v>
      </c>
      <c r="W87" s="425" t="s">
        <v>1013</v>
      </c>
      <c r="X87" s="425" t="s">
        <v>1015</v>
      </c>
      <c r="Y87" s="425" t="s">
        <v>1014</v>
      </c>
      <c r="Z87" s="425" t="s">
        <v>825</v>
      </c>
      <c r="AA87" s="425" t="s">
        <v>462</v>
      </c>
      <c r="AB87" s="425" t="s">
        <v>461</v>
      </c>
      <c r="AD87" s="426"/>
      <c r="AM87" s="427"/>
      <c r="AN87" s="427"/>
      <c r="AO87" s="427"/>
      <c r="AP87" s="427"/>
      <c r="BC87" s="427"/>
      <c r="BD87" s="427"/>
      <c r="BJ87"/>
      <c r="BK87"/>
    </row>
    <row r="88" spans="1:63" ht="13.5" hidden="1" x14ac:dyDescent="0.25">
      <c r="A88" s="257"/>
      <c r="C88" t="str">
        <f>C58</f>
        <v/>
      </c>
      <c r="D88" t="str">
        <f>D58</f>
        <v/>
      </c>
      <c r="E88" s="428" t="str">
        <f>IF(COUNTBLANK($C17:$D17)=0,E17,"")</f>
        <v/>
      </c>
      <c r="F88" s="428" t="str">
        <f>IF(COUNTBLANK(F17)=0,F17,"")</f>
        <v/>
      </c>
      <c r="G88" s="432" t="str">
        <f t="shared" ref="G88:L88" si="82">IF(COUNTBLANK(G17)=0,G17,"")</f>
        <v/>
      </c>
      <c r="H88" s="428" t="str">
        <f t="shared" si="82"/>
        <v/>
      </c>
      <c r="I88" s="428" t="str">
        <f t="shared" si="82"/>
        <v/>
      </c>
      <c r="J88" s="428" t="str">
        <f t="shared" si="82"/>
        <v/>
      </c>
      <c r="K88" s="428" t="str">
        <f t="shared" si="82"/>
        <v/>
      </c>
      <c r="L88" s="428" t="str">
        <f t="shared" si="82"/>
        <v/>
      </c>
      <c r="M88" t="str">
        <f>IF(COUNTBLANK(M17)=0,'Cost Calc'!O$8,"")</f>
        <v/>
      </c>
      <c r="N88" t="str">
        <f>IF(COUNTBLANK(N17)=0,'Cost Calc'!P$8,"")</f>
        <v/>
      </c>
      <c r="O88" t="str">
        <f>IF(COUNTBLANK(O17)=0,'Cost Calc'!Q$8,"")</f>
        <v/>
      </c>
      <c r="P88" t="str">
        <f>IF(COUNTBLANK(P17)=0,'Cost Calc'!R$8,"")</f>
        <v/>
      </c>
      <c r="Q88" t="str">
        <f>IF(COUNTBLANK(Q17)=0,'Cost Calc'!S$8,"")</f>
        <v/>
      </c>
      <c r="R88" t="str">
        <f>IF(COUNTBLANK(R17)=0,'Cost Calc'!T$8,"")</f>
        <v/>
      </c>
      <c r="S88" t="str">
        <f>IF(COUNTBLANK(S17)=0,'Cost Calc'!U$8,"")</f>
        <v/>
      </c>
      <c r="T88" t="str">
        <f>IF(COUNTBLANK(T17)=0,'Cost Calc'!U$8,"")</f>
        <v/>
      </c>
      <c r="U88" t="str">
        <f>IF(COUNTBLANK(U17)=0,U17,"")</f>
        <v/>
      </c>
      <c r="V88" t="str">
        <f>IF(COUNTBLANK(V17)=0,'Cost Calc'!X$8,"")</f>
        <v/>
      </c>
      <c r="W88" t="str">
        <f>IF(COUNTBLANK(W17)=0,'Cost Calc'!X$8,"")</f>
        <v/>
      </c>
      <c r="X88" t="str">
        <f>IF(COUNTBLANK(X17)=0,'Cost Calc'!Z$8,"")</f>
        <v/>
      </c>
      <c r="Y88" t="str">
        <f>IF(OR(Y17="A",Y17="X",Y17="a",Y17="x"),'Cost Calc'!AB$8,"")</f>
        <v/>
      </c>
      <c r="Z88" t="str">
        <f>IF(OR(Y17="B",Y17="b"),'Cost Calc'!AC$8,"")</f>
        <v/>
      </c>
      <c r="AA88" s="271">
        <f>IF(COUNTBLANK(C88:D88)&lt;2,IF(L88="N",'Cost Calc'!K$37,'Cost Calc'!K$38),0)</f>
        <v>0</v>
      </c>
      <c r="AB88">
        <f t="shared" ref="AB88:AB114" si="83">AA88+SUM(M88:Z88)</f>
        <v>0</v>
      </c>
      <c r="AD88" s="27"/>
      <c r="AM88" s="1"/>
      <c r="AN88" s="1"/>
      <c r="AO88" s="1"/>
      <c r="AP88" s="1"/>
      <c r="BC88" s="1"/>
      <c r="BD88" s="1"/>
    </row>
    <row r="89" spans="1:63" ht="13.5" hidden="1" x14ac:dyDescent="0.25">
      <c r="A89" s="257"/>
      <c r="C89" t="str">
        <f t="shared" ref="C89:D89" si="84">C59</f>
        <v/>
      </c>
      <c r="D89" t="str">
        <f t="shared" si="84"/>
        <v/>
      </c>
      <c r="E89" s="428" t="str">
        <f t="shared" ref="E89:E114" si="85">IF(COUNTBLANK($C18:$D18)=0,E18,"")</f>
        <v/>
      </c>
      <c r="F89" s="428" t="str">
        <f t="shared" ref="F89:L89" si="86">IF(COUNTBLANK(F18)=0,F18,"")</f>
        <v/>
      </c>
      <c r="G89" s="432" t="str">
        <f t="shared" si="86"/>
        <v/>
      </c>
      <c r="H89" s="428" t="str">
        <f t="shared" si="86"/>
        <v/>
      </c>
      <c r="I89" s="428" t="str">
        <f t="shared" si="86"/>
        <v/>
      </c>
      <c r="J89" s="428" t="str">
        <f t="shared" si="86"/>
        <v/>
      </c>
      <c r="K89" s="428" t="str">
        <f t="shared" si="86"/>
        <v/>
      </c>
      <c r="L89" s="428" t="str">
        <f t="shared" si="86"/>
        <v/>
      </c>
      <c r="M89" t="str">
        <f>IF(COUNTBLANK(M18)=0,'Cost Calc'!O$8,"")</f>
        <v/>
      </c>
      <c r="N89" t="str">
        <f>IF(COUNTBLANK(N18)=0,'Cost Calc'!P$8,"")</f>
        <v/>
      </c>
      <c r="O89" t="str">
        <f>IF(COUNTBLANK(O18)=0,'Cost Calc'!Q$8,"")</f>
        <v/>
      </c>
      <c r="P89" t="str">
        <f>IF(COUNTBLANK(P18)=0,'Cost Calc'!R$8,"")</f>
        <v/>
      </c>
      <c r="Q89" t="str">
        <f>IF(COUNTBLANK(Q18)=0,'Cost Calc'!S$8,"")</f>
        <v/>
      </c>
      <c r="R89" t="str">
        <f>IF(COUNTBLANK(R18)=0,'Cost Calc'!T$8,"")</f>
        <v/>
      </c>
      <c r="S89" t="str">
        <f>IF(COUNTBLANK(S18)=0,'Cost Calc'!U$8,"")</f>
        <v/>
      </c>
      <c r="T89" t="str">
        <f>IF(COUNTBLANK(T18)=0,'Cost Calc'!U$8,"")</f>
        <v/>
      </c>
      <c r="U89" t="str">
        <f t="shared" ref="U89:U114" si="87">IF(COUNTBLANK(U18)=0,U18,"")</f>
        <v/>
      </c>
      <c r="V89" t="str">
        <f>IF(COUNTBLANK(V18)=0,'Cost Calc'!X$8,"")</f>
        <v/>
      </c>
      <c r="W89" t="str">
        <f>IF(COUNTBLANK(W18)=0,'Cost Calc'!X$8,"")</f>
        <v/>
      </c>
      <c r="X89" t="str">
        <f>IF(COUNTBLANK(X18)=0,'Cost Calc'!Z$8,"")</f>
        <v/>
      </c>
      <c r="Y89" t="str">
        <f>IF(OR(Y18="A",Y18="X",Y18="a",Y18="x"),'Cost Calc'!AB$8,"")</f>
        <v/>
      </c>
      <c r="Z89" t="str">
        <f>IF(OR(Y18="B",Y18="b"),'Cost Calc'!AC$8,"")</f>
        <v/>
      </c>
      <c r="AA89" s="271">
        <f>IF(COUNTBLANK(C89:D89)&lt;2,IF(L89="N",'Cost Calc'!K$37,'Cost Calc'!K$38),0)</f>
        <v>0</v>
      </c>
      <c r="AB89">
        <f t="shared" si="83"/>
        <v>0</v>
      </c>
      <c r="AD89" s="27"/>
      <c r="AM89" s="1"/>
      <c r="AN89" s="1"/>
      <c r="AO89" s="1"/>
      <c r="AP89" s="1"/>
      <c r="BC89" s="1"/>
      <c r="BD89" s="1"/>
    </row>
    <row r="90" spans="1:63" ht="13.5" hidden="1" x14ac:dyDescent="0.25">
      <c r="A90" s="257"/>
      <c r="C90" t="str">
        <f t="shared" ref="C90:D90" si="88">C60</f>
        <v/>
      </c>
      <c r="D90" t="str">
        <f t="shared" si="88"/>
        <v/>
      </c>
      <c r="E90" s="428" t="str">
        <f t="shared" si="85"/>
        <v/>
      </c>
      <c r="F90" s="428" t="str">
        <f t="shared" ref="F90:L90" si="89">IF(COUNTBLANK(F19)=0,F19,"")</f>
        <v/>
      </c>
      <c r="G90" s="432" t="str">
        <f t="shared" si="89"/>
        <v/>
      </c>
      <c r="H90" s="428" t="str">
        <f t="shared" si="89"/>
        <v/>
      </c>
      <c r="I90" s="428" t="str">
        <f t="shared" si="89"/>
        <v/>
      </c>
      <c r="J90" s="428" t="str">
        <f t="shared" si="89"/>
        <v/>
      </c>
      <c r="K90" s="428" t="str">
        <f t="shared" si="89"/>
        <v/>
      </c>
      <c r="L90" s="428" t="str">
        <f t="shared" si="89"/>
        <v/>
      </c>
      <c r="M90" t="str">
        <f>IF(COUNTBLANK(M19)=0,'Cost Calc'!O$8,"")</f>
        <v/>
      </c>
      <c r="N90" t="str">
        <f>IF(COUNTBLANK(N19)=0,'Cost Calc'!P$8,"")</f>
        <v/>
      </c>
      <c r="O90" t="str">
        <f>IF(COUNTBLANK(O19)=0,'Cost Calc'!Q$8,"")</f>
        <v/>
      </c>
      <c r="P90" t="str">
        <f>IF(COUNTBLANK(P19)=0,'Cost Calc'!R$8,"")</f>
        <v/>
      </c>
      <c r="Q90" t="str">
        <f>IF(COUNTBLANK(Q19)=0,'Cost Calc'!S$8,"")</f>
        <v/>
      </c>
      <c r="R90" t="str">
        <f>IF(COUNTBLANK(R19)=0,'Cost Calc'!T$8,"")</f>
        <v/>
      </c>
      <c r="S90" t="str">
        <f>IF(COUNTBLANK(S19)=0,'Cost Calc'!U$8,"")</f>
        <v/>
      </c>
      <c r="T90" t="str">
        <f>IF(COUNTBLANK(T19)=0,'Cost Calc'!U$8,"")</f>
        <v/>
      </c>
      <c r="U90" t="str">
        <f t="shared" si="87"/>
        <v/>
      </c>
      <c r="V90" t="str">
        <f>IF(COUNTBLANK(V19)=0,'Cost Calc'!X$8,"")</f>
        <v/>
      </c>
      <c r="W90" t="str">
        <f>IF(COUNTBLANK(W19)=0,'Cost Calc'!X$8,"")</f>
        <v/>
      </c>
      <c r="X90" t="str">
        <f>IF(COUNTBLANK(X19)=0,'Cost Calc'!Z$8,"")</f>
        <v/>
      </c>
      <c r="Y90" t="str">
        <f>IF(OR(Y19="A",Y19="X",Y19="a",Y19="x"),'Cost Calc'!AB$8,"")</f>
        <v/>
      </c>
      <c r="Z90" t="str">
        <f>IF(OR(Y19="B",Y19="b"),'Cost Calc'!AC$8,"")</f>
        <v/>
      </c>
      <c r="AA90" s="271">
        <f>IF(COUNTBLANK(C90:D90)&lt;2,IF(L90="N",'Cost Calc'!K$37,'Cost Calc'!K$38),0)</f>
        <v>0</v>
      </c>
      <c r="AB90">
        <f t="shared" si="83"/>
        <v>0</v>
      </c>
      <c r="AD90" s="27"/>
      <c r="AM90" s="1"/>
      <c r="AN90" s="1"/>
      <c r="AO90" s="1"/>
      <c r="AP90" s="1"/>
      <c r="BC90" s="1"/>
      <c r="BD90" s="1"/>
    </row>
    <row r="91" spans="1:63" ht="13.5" hidden="1" x14ac:dyDescent="0.25">
      <c r="A91" s="257"/>
      <c r="C91" t="str">
        <f t="shared" ref="C91:D91" si="90">C61</f>
        <v/>
      </c>
      <c r="D91" t="str">
        <f t="shared" si="90"/>
        <v/>
      </c>
      <c r="E91" s="428" t="str">
        <f t="shared" si="85"/>
        <v/>
      </c>
      <c r="F91" s="428" t="str">
        <f t="shared" ref="F91:L91" si="91">IF(COUNTBLANK(F20)=0,F20,"")</f>
        <v/>
      </c>
      <c r="G91" s="432" t="str">
        <f t="shared" si="91"/>
        <v/>
      </c>
      <c r="H91" s="428" t="str">
        <f t="shared" si="91"/>
        <v/>
      </c>
      <c r="I91" s="428" t="str">
        <f t="shared" si="91"/>
        <v/>
      </c>
      <c r="J91" s="428" t="str">
        <f t="shared" si="91"/>
        <v/>
      </c>
      <c r="K91" s="428" t="str">
        <f t="shared" si="91"/>
        <v/>
      </c>
      <c r="L91" s="428" t="str">
        <f t="shared" si="91"/>
        <v/>
      </c>
      <c r="M91" t="str">
        <f>IF(COUNTBLANK(M20)=0,'Cost Calc'!O$8,"")</f>
        <v/>
      </c>
      <c r="N91" t="str">
        <f>IF(COUNTBLANK(N20)=0,'Cost Calc'!P$8,"")</f>
        <v/>
      </c>
      <c r="O91" t="str">
        <f>IF(COUNTBLANK(O20)=0,'Cost Calc'!Q$8,"")</f>
        <v/>
      </c>
      <c r="P91" t="str">
        <f>IF(COUNTBLANK(P20)=0,'Cost Calc'!R$8,"")</f>
        <v/>
      </c>
      <c r="Q91" t="str">
        <f>IF(COUNTBLANK(Q20)=0,'Cost Calc'!S$8,"")</f>
        <v/>
      </c>
      <c r="R91" t="str">
        <f>IF(COUNTBLANK(R20)=0,'Cost Calc'!T$8,"")</f>
        <v/>
      </c>
      <c r="S91" t="str">
        <f>IF(COUNTBLANK(S20)=0,'Cost Calc'!U$8,"")</f>
        <v/>
      </c>
      <c r="T91" t="str">
        <f>IF(COUNTBLANK(T20)=0,'Cost Calc'!U$8,"")</f>
        <v/>
      </c>
      <c r="U91" t="str">
        <f t="shared" si="87"/>
        <v/>
      </c>
      <c r="V91" t="str">
        <f>IF(COUNTBLANK(V20)=0,'Cost Calc'!X$8,"")</f>
        <v/>
      </c>
      <c r="W91" t="str">
        <f>IF(COUNTBLANK(W20)=0,'Cost Calc'!X$8,"")</f>
        <v/>
      </c>
      <c r="X91" t="str">
        <f>IF(COUNTBLANK(X20)=0,'Cost Calc'!Z$8,"")</f>
        <v/>
      </c>
      <c r="Y91" t="str">
        <f>IF(OR(Y20="A",Y20="X",Y20="a",Y20="x"),'Cost Calc'!AB$8,"")</f>
        <v/>
      </c>
      <c r="Z91" t="str">
        <f>IF(OR(Y20="B",Y20="b"),'Cost Calc'!AC$8,"")</f>
        <v/>
      </c>
      <c r="AA91" s="271">
        <f>IF(COUNTBLANK(C91:D91)&lt;2,IF(L91="N",'Cost Calc'!K$37,'Cost Calc'!K$38),0)</f>
        <v>0</v>
      </c>
      <c r="AB91">
        <f t="shared" si="83"/>
        <v>0</v>
      </c>
      <c r="AD91" s="27"/>
      <c r="AM91" s="1"/>
      <c r="AN91" s="1"/>
      <c r="AO91" s="1"/>
      <c r="AP91" s="1"/>
      <c r="BC91" s="1"/>
      <c r="BD91" s="1"/>
    </row>
    <row r="92" spans="1:63" ht="13.5" hidden="1" x14ac:dyDescent="0.25">
      <c r="A92" s="257"/>
      <c r="C92" t="str">
        <f t="shared" ref="C92:D92" si="92">C62</f>
        <v/>
      </c>
      <c r="D92" t="str">
        <f t="shared" si="92"/>
        <v/>
      </c>
      <c r="E92" s="428" t="str">
        <f t="shared" si="85"/>
        <v/>
      </c>
      <c r="F92" s="428" t="str">
        <f t="shared" ref="F92:L92" si="93">IF(COUNTBLANK(F21)=0,F21,"")</f>
        <v/>
      </c>
      <c r="G92" s="432" t="str">
        <f t="shared" si="93"/>
        <v/>
      </c>
      <c r="H92" s="428" t="str">
        <f t="shared" si="93"/>
        <v/>
      </c>
      <c r="I92" s="428" t="str">
        <f t="shared" si="93"/>
        <v/>
      </c>
      <c r="J92" s="428" t="str">
        <f t="shared" si="93"/>
        <v/>
      </c>
      <c r="K92" s="428" t="str">
        <f t="shared" si="93"/>
        <v/>
      </c>
      <c r="L92" s="428" t="str">
        <f t="shared" si="93"/>
        <v/>
      </c>
      <c r="M92" t="str">
        <f>IF(COUNTBLANK(M21)=0,'Cost Calc'!O$8,"")</f>
        <v/>
      </c>
      <c r="N92" t="str">
        <f>IF(COUNTBLANK(N21)=0,'Cost Calc'!P$8,"")</f>
        <v/>
      </c>
      <c r="O92" t="str">
        <f>IF(COUNTBLANK(O21)=0,'Cost Calc'!Q$8,"")</f>
        <v/>
      </c>
      <c r="P92" t="str">
        <f>IF(COUNTBLANK(P21)=0,'Cost Calc'!R$8,"")</f>
        <v/>
      </c>
      <c r="Q92" t="str">
        <f>IF(COUNTBLANK(Q21)=0,'Cost Calc'!S$8,"")</f>
        <v/>
      </c>
      <c r="R92" t="str">
        <f>IF(COUNTBLANK(R21)=0,'Cost Calc'!T$8,"")</f>
        <v/>
      </c>
      <c r="S92" t="str">
        <f>IF(COUNTBLANK(S21)=0,'Cost Calc'!U$8,"")</f>
        <v/>
      </c>
      <c r="T92" t="str">
        <f>IF(COUNTBLANK(T21)=0,'Cost Calc'!U$8,"")</f>
        <v/>
      </c>
      <c r="U92" t="str">
        <f t="shared" si="87"/>
        <v/>
      </c>
      <c r="V92" t="str">
        <f>IF(COUNTBLANK(V21)=0,'Cost Calc'!X$8,"")</f>
        <v/>
      </c>
      <c r="W92" t="str">
        <f>IF(COUNTBLANK(W21)=0,'Cost Calc'!X$8,"")</f>
        <v/>
      </c>
      <c r="X92" t="str">
        <f>IF(COUNTBLANK(X21)=0,'Cost Calc'!Z$8,"")</f>
        <v/>
      </c>
      <c r="Y92" t="str">
        <f>IF(OR(Y21="A",Y21="X",Y21="a",Y21="x"),'Cost Calc'!AB$8,"")</f>
        <v/>
      </c>
      <c r="Z92" t="str">
        <f>IF(OR(Y21="B",Y21="b"),'Cost Calc'!AC$8,"")</f>
        <v/>
      </c>
      <c r="AA92" s="271">
        <f>IF(COUNTBLANK(C92:D92)&lt;2,IF(L92="N",'Cost Calc'!K$37,'Cost Calc'!K$38),0)</f>
        <v>0</v>
      </c>
      <c r="AB92">
        <f t="shared" si="83"/>
        <v>0</v>
      </c>
      <c r="AD92" s="27"/>
      <c r="AM92" s="1"/>
      <c r="AN92" s="1"/>
      <c r="AO92" s="1"/>
      <c r="AP92" s="1"/>
      <c r="BC92" s="1"/>
      <c r="BD92" s="1"/>
    </row>
    <row r="93" spans="1:63" ht="13.5" hidden="1" x14ac:dyDescent="0.25">
      <c r="A93" s="257"/>
      <c r="C93" t="str">
        <f t="shared" ref="C93:D93" si="94">C63</f>
        <v/>
      </c>
      <c r="D93" t="str">
        <f t="shared" si="94"/>
        <v/>
      </c>
      <c r="E93" s="428" t="str">
        <f t="shared" si="85"/>
        <v/>
      </c>
      <c r="F93" s="428" t="str">
        <f t="shared" ref="F93:K93" si="95">IF(COUNTBLANK(F22)=0,F22,"")</f>
        <v/>
      </c>
      <c r="G93" s="432" t="str">
        <f t="shared" si="95"/>
        <v/>
      </c>
      <c r="H93" s="428" t="str">
        <f t="shared" si="95"/>
        <v/>
      </c>
      <c r="I93" s="428" t="str">
        <f t="shared" si="95"/>
        <v/>
      </c>
      <c r="J93" s="428" t="str">
        <f t="shared" si="95"/>
        <v/>
      </c>
      <c r="K93" s="428" t="str">
        <f t="shared" si="95"/>
        <v/>
      </c>
      <c r="L93" s="428" t="str">
        <f>IF(COUNTBLANK(L22)=0,L22,"")</f>
        <v/>
      </c>
      <c r="M93" t="str">
        <f>IF(COUNTBLANK(M22)=0,'Cost Calc'!O$8,"")</f>
        <v/>
      </c>
      <c r="N93" t="str">
        <f>IF(COUNTBLANK(N22)=0,'Cost Calc'!P$8,"")</f>
        <v/>
      </c>
      <c r="O93" t="str">
        <f>IF(COUNTBLANK(O22)=0,'Cost Calc'!Q$8,"")</f>
        <v/>
      </c>
      <c r="P93" t="str">
        <f>IF(COUNTBLANK(P22)=0,'Cost Calc'!R$8,"")</f>
        <v/>
      </c>
      <c r="Q93" t="str">
        <f>IF(COUNTBLANK(Q22)=0,'Cost Calc'!S$8,"")</f>
        <v/>
      </c>
      <c r="R93" t="str">
        <f>IF(COUNTBLANK(R22)=0,'Cost Calc'!T$8,"")</f>
        <v/>
      </c>
      <c r="S93" t="str">
        <f>IF(COUNTBLANK(S22)=0,'Cost Calc'!U$8,"")</f>
        <v/>
      </c>
      <c r="T93" t="str">
        <f>IF(COUNTBLANK(T22)=0,'Cost Calc'!U$8,"")</f>
        <v/>
      </c>
      <c r="U93" t="str">
        <f t="shared" si="87"/>
        <v/>
      </c>
      <c r="V93" t="str">
        <f>IF(COUNTBLANK(V22)=0,'Cost Calc'!X$8,"")</f>
        <v/>
      </c>
      <c r="W93" t="str">
        <f>IF(COUNTBLANK(W22)=0,'Cost Calc'!X$8,"")</f>
        <v/>
      </c>
      <c r="X93" t="str">
        <f>IF(COUNTBLANK(X22)=0,'Cost Calc'!Z$8,"")</f>
        <v/>
      </c>
      <c r="Y93" t="str">
        <f>IF(OR(Y22="A",Y22="X",Y22="a",Y22="x"),'Cost Calc'!AB$8,"")</f>
        <v/>
      </c>
      <c r="Z93" t="str">
        <f>IF(OR(Y22="B",Y22="b"),'Cost Calc'!AC$8,"")</f>
        <v/>
      </c>
      <c r="AA93" s="271">
        <f>IF(COUNTBLANK(C93:D93)&lt;2,IF(L93="N",'Cost Calc'!K$37,'Cost Calc'!K$38),0)</f>
        <v>0</v>
      </c>
      <c r="AB93">
        <f t="shared" si="83"/>
        <v>0</v>
      </c>
      <c r="AD93" s="27"/>
      <c r="AM93" s="1"/>
      <c r="AN93" s="1"/>
      <c r="AO93" s="1"/>
      <c r="AP93" s="1"/>
      <c r="BC93" s="1"/>
      <c r="BD93" s="1"/>
    </row>
    <row r="94" spans="1:63" ht="13.5" hidden="1" x14ac:dyDescent="0.25">
      <c r="A94" s="257"/>
      <c r="C94" t="str">
        <f t="shared" ref="C94:D94" si="96">C64</f>
        <v/>
      </c>
      <c r="D94" t="str">
        <f t="shared" si="96"/>
        <v/>
      </c>
      <c r="E94" s="428" t="str">
        <f t="shared" si="85"/>
        <v/>
      </c>
      <c r="F94" s="428" t="str">
        <f t="shared" ref="F94:L94" si="97">IF(COUNTBLANK(F23)=0,F23,"")</f>
        <v/>
      </c>
      <c r="G94" s="432" t="str">
        <f t="shared" si="97"/>
        <v/>
      </c>
      <c r="H94" s="428" t="str">
        <f t="shared" si="97"/>
        <v/>
      </c>
      <c r="I94" s="428" t="str">
        <f t="shared" si="97"/>
        <v/>
      </c>
      <c r="J94" s="428" t="str">
        <f t="shared" si="97"/>
        <v/>
      </c>
      <c r="K94" s="428" t="str">
        <f t="shared" si="97"/>
        <v/>
      </c>
      <c r="L94" s="428" t="str">
        <f t="shared" si="97"/>
        <v/>
      </c>
      <c r="M94" t="str">
        <f>IF(COUNTBLANK(M23)=0,'Cost Calc'!O$8,"")</f>
        <v/>
      </c>
      <c r="N94" t="str">
        <f>IF(COUNTBLANK(N23)=0,'Cost Calc'!P$8,"")</f>
        <v/>
      </c>
      <c r="O94" t="str">
        <f>IF(COUNTBLANK(O23)=0,'Cost Calc'!Q$8,"")</f>
        <v/>
      </c>
      <c r="P94" t="str">
        <f>IF(COUNTBLANK(P23)=0,'Cost Calc'!R$8,"")</f>
        <v/>
      </c>
      <c r="Q94" t="str">
        <f>IF(COUNTBLANK(Q23)=0,'Cost Calc'!S$8,"")</f>
        <v/>
      </c>
      <c r="R94" t="str">
        <f>IF(COUNTBLANK(R23)=0,'Cost Calc'!T$8,"")</f>
        <v/>
      </c>
      <c r="S94" t="str">
        <f>IF(COUNTBLANK(S23)=0,'Cost Calc'!U$8,"")</f>
        <v/>
      </c>
      <c r="T94" t="str">
        <f>IF(COUNTBLANK(T23)=0,'Cost Calc'!U$8,"")</f>
        <v/>
      </c>
      <c r="U94" t="str">
        <f t="shared" si="87"/>
        <v/>
      </c>
      <c r="V94" t="str">
        <f>IF(COUNTBLANK(V23)=0,'Cost Calc'!X$8,"")</f>
        <v/>
      </c>
      <c r="W94" t="str">
        <f>IF(COUNTBLANK(W23)=0,'Cost Calc'!X$8,"")</f>
        <v/>
      </c>
      <c r="X94" t="str">
        <f>IF(COUNTBLANK(X23)=0,'Cost Calc'!Z$8,"")</f>
        <v/>
      </c>
      <c r="Y94" t="str">
        <f>IF(OR(Y23="A",Y23="X",Y23="a",Y23="x"),'Cost Calc'!AB$8,"")</f>
        <v/>
      </c>
      <c r="Z94" t="str">
        <f>IF(OR(Y23="B",Y23="b"),'Cost Calc'!AC$8,"")</f>
        <v/>
      </c>
      <c r="AA94" s="271">
        <f>IF(COUNTBLANK(C94:D94)&lt;2,IF(L94="N",'Cost Calc'!K$37,'Cost Calc'!K$38),0)</f>
        <v>0</v>
      </c>
      <c r="AB94">
        <f t="shared" si="83"/>
        <v>0</v>
      </c>
      <c r="AD94" s="27"/>
      <c r="AM94" s="1"/>
      <c r="AN94" s="1"/>
      <c r="AO94" s="1"/>
      <c r="AP94" s="1"/>
      <c r="BC94" s="1"/>
      <c r="BD94" s="1"/>
    </row>
    <row r="95" spans="1:63" ht="13.5" hidden="1" x14ac:dyDescent="0.25">
      <c r="A95" s="257"/>
      <c r="C95" t="str">
        <f t="shared" ref="C95:D95" si="98">C65</f>
        <v/>
      </c>
      <c r="D95" t="str">
        <f t="shared" si="98"/>
        <v/>
      </c>
      <c r="E95" s="428" t="str">
        <f t="shared" si="85"/>
        <v/>
      </c>
      <c r="F95" s="428" t="str">
        <f t="shared" ref="F95:L95" si="99">IF(COUNTBLANK(F24)=0,F24,"")</f>
        <v/>
      </c>
      <c r="G95" s="432" t="str">
        <f t="shared" si="99"/>
        <v/>
      </c>
      <c r="H95" s="428" t="str">
        <f t="shared" si="99"/>
        <v/>
      </c>
      <c r="I95" s="428" t="str">
        <f t="shared" si="99"/>
        <v/>
      </c>
      <c r="J95" s="428" t="str">
        <f t="shared" si="99"/>
        <v/>
      </c>
      <c r="K95" s="428" t="str">
        <f t="shared" si="99"/>
        <v/>
      </c>
      <c r="L95" s="428" t="str">
        <f t="shared" si="99"/>
        <v/>
      </c>
      <c r="M95" t="str">
        <f>IF(COUNTBLANK(M24)=0,'Cost Calc'!O$8,"")</f>
        <v/>
      </c>
      <c r="N95" t="str">
        <f>IF(COUNTBLANK(N24)=0,'Cost Calc'!P$8,"")</f>
        <v/>
      </c>
      <c r="O95" t="str">
        <f>IF(COUNTBLANK(O24)=0,'Cost Calc'!Q$8,"")</f>
        <v/>
      </c>
      <c r="P95" t="str">
        <f>IF(COUNTBLANK(P24)=0,'Cost Calc'!R$8,"")</f>
        <v/>
      </c>
      <c r="Q95" t="str">
        <f>IF(COUNTBLANK(Q24)=0,'Cost Calc'!S$8,"")</f>
        <v/>
      </c>
      <c r="R95" t="str">
        <f>IF(COUNTBLANK(R24)=0,'Cost Calc'!T$8,"")</f>
        <v/>
      </c>
      <c r="S95" t="str">
        <f>IF(COUNTBLANK(S24)=0,'Cost Calc'!U$8,"")</f>
        <v/>
      </c>
      <c r="T95" t="str">
        <f>IF(COUNTBLANK(T24)=0,'Cost Calc'!U$8,"")</f>
        <v/>
      </c>
      <c r="U95" t="str">
        <f t="shared" si="87"/>
        <v/>
      </c>
      <c r="V95" t="str">
        <f>IF(COUNTBLANK(V24)=0,'Cost Calc'!X$8,"")</f>
        <v/>
      </c>
      <c r="W95" t="str">
        <f>IF(COUNTBLANK(W24)=0,'Cost Calc'!X$8,"")</f>
        <v/>
      </c>
      <c r="X95" t="str">
        <f>IF(COUNTBLANK(X24)=0,'Cost Calc'!Z$8,"")</f>
        <v/>
      </c>
      <c r="Y95" t="str">
        <f>IF(OR(Y24="A",Y24="X",Y24="a",Y24="x"),'Cost Calc'!AB$8,"")</f>
        <v/>
      </c>
      <c r="Z95" t="str">
        <f>IF(OR(Y24="B",Y24="b"),'Cost Calc'!AC$8,"")</f>
        <v/>
      </c>
      <c r="AA95" s="271">
        <f>IF(COUNTBLANK(C95:D95)&lt;2,IF(L95="N",'Cost Calc'!K$37,'Cost Calc'!K$38),0)</f>
        <v>0</v>
      </c>
      <c r="AB95">
        <f t="shared" si="83"/>
        <v>0</v>
      </c>
      <c r="AD95" s="27"/>
      <c r="AM95" s="1"/>
      <c r="AN95" s="1"/>
      <c r="AO95" s="1"/>
      <c r="AP95" s="1"/>
      <c r="BC95" s="1"/>
      <c r="BD95" s="1"/>
    </row>
    <row r="96" spans="1:63" ht="13.5" hidden="1" x14ac:dyDescent="0.25">
      <c r="A96" s="257"/>
      <c r="C96" t="str">
        <f t="shared" ref="C96:D96" si="100">C66</f>
        <v/>
      </c>
      <c r="D96" t="str">
        <f t="shared" si="100"/>
        <v/>
      </c>
      <c r="E96" s="428" t="str">
        <f t="shared" si="85"/>
        <v/>
      </c>
      <c r="F96" s="428" t="str">
        <f t="shared" ref="F96:L96" si="101">IF(COUNTBLANK(F25)=0,F25,"")</f>
        <v/>
      </c>
      <c r="G96" s="432" t="str">
        <f t="shared" si="101"/>
        <v/>
      </c>
      <c r="H96" s="428" t="str">
        <f t="shared" si="101"/>
        <v/>
      </c>
      <c r="I96" s="428" t="str">
        <f t="shared" si="101"/>
        <v/>
      </c>
      <c r="J96" s="428" t="str">
        <f t="shared" si="101"/>
        <v/>
      </c>
      <c r="K96" s="428" t="str">
        <f t="shared" si="101"/>
        <v/>
      </c>
      <c r="L96" s="428" t="str">
        <f t="shared" si="101"/>
        <v/>
      </c>
      <c r="M96" t="str">
        <f>IF(COUNTBLANK(M25)=0,'Cost Calc'!O$8,"")</f>
        <v/>
      </c>
      <c r="N96" t="str">
        <f>IF(COUNTBLANK(N25)=0,'Cost Calc'!P$8,"")</f>
        <v/>
      </c>
      <c r="O96" t="str">
        <f>IF(COUNTBLANK(O25)=0,'Cost Calc'!Q$8,"")</f>
        <v/>
      </c>
      <c r="P96" t="str">
        <f>IF(COUNTBLANK(P25)=0,'Cost Calc'!R$8,"")</f>
        <v/>
      </c>
      <c r="Q96" t="str">
        <f>IF(COUNTBLANK(Q25)=0,'Cost Calc'!S$8,"")</f>
        <v/>
      </c>
      <c r="R96" t="str">
        <f>IF(COUNTBLANK(R25)=0,'Cost Calc'!T$8,"")</f>
        <v/>
      </c>
      <c r="S96" t="str">
        <f>IF(COUNTBLANK(S25)=0,'Cost Calc'!U$8,"")</f>
        <v/>
      </c>
      <c r="T96" t="str">
        <f>IF(COUNTBLANK(T25)=0,'Cost Calc'!U$8,"")</f>
        <v/>
      </c>
      <c r="U96" t="str">
        <f t="shared" si="87"/>
        <v/>
      </c>
      <c r="V96" t="str">
        <f>IF(COUNTBLANK(V25)=0,'Cost Calc'!X$8,"")</f>
        <v/>
      </c>
      <c r="W96" t="str">
        <f>IF(COUNTBLANK(W25)=0,'Cost Calc'!X$8,"")</f>
        <v/>
      </c>
      <c r="X96" t="str">
        <f>IF(COUNTBLANK(X25)=0,'Cost Calc'!Z$8,"")</f>
        <v/>
      </c>
      <c r="Y96" t="str">
        <f>IF(OR(Y25="A",Y25="X",Y25="a",Y25="x"),'Cost Calc'!AB$8,"")</f>
        <v/>
      </c>
      <c r="Z96" t="str">
        <f>IF(OR(Y25="B",Y25="b"),'Cost Calc'!AC$8,"")</f>
        <v/>
      </c>
      <c r="AA96" s="271">
        <f>IF(COUNTBLANK(C96:D96)&lt;2,IF(L96="N",'Cost Calc'!K$37,'Cost Calc'!K$38),0)</f>
        <v>0</v>
      </c>
      <c r="AB96">
        <f t="shared" si="83"/>
        <v>0</v>
      </c>
      <c r="AD96" s="27"/>
      <c r="AM96" s="1"/>
      <c r="AN96" s="1"/>
      <c r="AO96" s="1"/>
      <c r="AP96" s="1"/>
      <c r="BC96" s="1"/>
      <c r="BD96" s="1"/>
    </row>
    <row r="97" spans="1:56" ht="13.5" hidden="1" x14ac:dyDescent="0.25">
      <c r="A97" s="257"/>
      <c r="C97" t="str">
        <f t="shared" ref="C97:D97" si="102">C67</f>
        <v/>
      </c>
      <c r="D97" t="str">
        <f t="shared" si="102"/>
        <v/>
      </c>
      <c r="E97" s="428" t="str">
        <f t="shared" si="85"/>
        <v/>
      </c>
      <c r="F97" s="428" t="str">
        <f t="shared" ref="F97:L97" si="103">IF(COUNTBLANK(F26)=0,F26,"")</f>
        <v/>
      </c>
      <c r="G97" s="432" t="str">
        <f t="shared" si="103"/>
        <v/>
      </c>
      <c r="H97" s="428" t="str">
        <f t="shared" si="103"/>
        <v/>
      </c>
      <c r="I97" s="428" t="str">
        <f t="shared" si="103"/>
        <v/>
      </c>
      <c r="J97" s="428" t="str">
        <f t="shared" si="103"/>
        <v/>
      </c>
      <c r="K97" s="428" t="str">
        <f t="shared" si="103"/>
        <v/>
      </c>
      <c r="L97" s="428" t="str">
        <f t="shared" si="103"/>
        <v/>
      </c>
      <c r="M97" t="str">
        <f>IF(COUNTBLANK(M26)=0,'Cost Calc'!O$8,"")</f>
        <v/>
      </c>
      <c r="N97" t="str">
        <f>IF(COUNTBLANK(N26)=0,'Cost Calc'!P$8,"")</f>
        <v/>
      </c>
      <c r="O97" t="str">
        <f>IF(COUNTBLANK(O26)=0,'Cost Calc'!Q$8,"")</f>
        <v/>
      </c>
      <c r="P97" t="str">
        <f>IF(COUNTBLANK(P26)=0,'Cost Calc'!R$8,"")</f>
        <v/>
      </c>
      <c r="Q97" t="str">
        <f>IF(COUNTBLANK(Q26)=0,'Cost Calc'!S$8,"")</f>
        <v/>
      </c>
      <c r="R97" t="str">
        <f>IF(COUNTBLANK(R26)=0,'Cost Calc'!T$8,"")</f>
        <v/>
      </c>
      <c r="S97" t="str">
        <f>IF(COUNTBLANK(S26)=0,'Cost Calc'!U$8,"")</f>
        <v/>
      </c>
      <c r="T97" t="str">
        <f>IF(COUNTBLANK(T26)=0,'Cost Calc'!U$8,"")</f>
        <v/>
      </c>
      <c r="U97" t="str">
        <f t="shared" si="87"/>
        <v/>
      </c>
      <c r="V97" t="str">
        <f>IF(COUNTBLANK(V26)=0,'Cost Calc'!X$8,"")</f>
        <v/>
      </c>
      <c r="W97" t="str">
        <f>IF(COUNTBLANK(W26)=0,'Cost Calc'!X$8,"")</f>
        <v/>
      </c>
      <c r="X97" t="str">
        <f>IF(COUNTBLANK(X26)=0,'Cost Calc'!Z$8,"")</f>
        <v/>
      </c>
      <c r="Y97" t="str">
        <f>IF(OR(Y26="A",Y26="X",Y26="a",Y26="x"),'Cost Calc'!AB$8,"")</f>
        <v/>
      </c>
      <c r="Z97" t="str">
        <f>IF(OR(Y26="B",Y26="b"),'Cost Calc'!AC$8,"")</f>
        <v/>
      </c>
      <c r="AA97" s="271">
        <f>IF(COUNTBLANK(C97:D97)&lt;2,IF(L97="N",'Cost Calc'!K$37,'Cost Calc'!K$38),0)</f>
        <v>0</v>
      </c>
      <c r="AB97">
        <f t="shared" si="83"/>
        <v>0</v>
      </c>
      <c r="AD97" s="27"/>
      <c r="AM97" s="1"/>
      <c r="AN97" s="1"/>
      <c r="AO97" s="1"/>
      <c r="AP97" s="1"/>
      <c r="BC97" s="1"/>
      <c r="BD97" s="1"/>
    </row>
    <row r="98" spans="1:56" ht="13.5" hidden="1" x14ac:dyDescent="0.25">
      <c r="A98" s="257"/>
      <c r="C98" t="str">
        <f t="shared" ref="C98:D98" si="104">C68</f>
        <v/>
      </c>
      <c r="D98" t="str">
        <f t="shared" si="104"/>
        <v/>
      </c>
      <c r="E98" s="428" t="str">
        <f t="shared" si="85"/>
        <v/>
      </c>
      <c r="F98" s="428" t="str">
        <f t="shared" ref="F98:L98" si="105">IF(COUNTBLANK(F27)=0,F27,"")</f>
        <v/>
      </c>
      <c r="G98" s="432" t="str">
        <f t="shared" si="105"/>
        <v/>
      </c>
      <c r="H98" s="428" t="str">
        <f t="shared" si="105"/>
        <v/>
      </c>
      <c r="I98" s="428" t="str">
        <f t="shared" si="105"/>
        <v/>
      </c>
      <c r="J98" s="428" t="str">
        <f t="shared" si="105"/>
        <v/>
      </c>
      <c r="K98" s="428" t="str">
        <f t="shared" si="105"/>
        <v/>
      </c>
      <c r="L98" s="428" t="str">
        <f t="shared" si="105"/>
        <v/>
      </c>
      <c r="M98" t="str">
        <f>IF(COUNTBLANK(M27)=0,'Cost Calc'!O$8,"")</f>
        <v/>
      </c>
      <c r="N98" t="str">
        <f>IF(COUNTBLANK(N27)=0,'Cost Calc'!P$8,"")</f>
        <v/>
      </c>
      <c r="O98" t="str">
        <f>IF(COUNTBLANK(O27)=0,'Cost Calc'!Q$8,"")</f>
        <v/>
      </c>
      <c r="P98" t="str">
        <f>IF(COUNTBLANK(P27)=0,'Cost Calc'!R$8,"")</f>
        <v/>
      </c>
      <c r="Q98" t="str">
        <f>IF(COUNTBLANK(Q27)=0,'Cost Calc'!S$8,"")</f>
        <v/>
      </c>
      <c r="R98" t="str">
        <f>IF(COUNTBLANK(R27)=0,'Cost Calc'!T$8,"")</f>
        <v/>
      </c>
      <c r="S98" t="str">
        <f>IF(COUNTBLANK(S27)=0,'Cost Calc'!U$8,"")</f>
        <v/>
      </c>
      <c r="T98" t="str">
        <f>IF(COUNTBLANK(T27)=0,'Cost Calc'!U$8,"")</f>
        <v/>
      </c>
      <c r="U98" t="str">
        <f t="shared" si="87"/>
        <v/>
      </c>
      <c r="V98" t="str">
        <f>IF(COUNTBLANK(V27)=0,'Cost Calc'!X$8,"")</f>
        <v/>
      </c>
      <c r="W98" t="str">
        <f>IF(COUNTBLANK(W27)=0,'Cost Calc'!X$8,"")</f>
        <v/>
      </c>
      <c r="X98" t="str">
        <f>IF(COUNTBLANK(X27)=0,'Cost Calc'!Z$8,"")</f>
        <v/>
      </c>
      <c r="Y98" t="str">
        <f>IF(OR(Y27="A",Y27="X",Y27="a",Y27="x"),'Cost Calc'!AB$8,"")</f>
        <v/>
      </c>
      <c r="Z98" t="str">
        <f>IF(OR(Y27="B",Y27="b"),'Cost Calc'!AC$8,"")</f>
        <v/>
      </c>
      <c r="AA98" s="271">
        <f>IF(COUNTBLANK(C98:D98)&lt;2,IF(L98="N",'Cost Calc'!K$37,'Cost Calc'!K$38),0)</f>
        <v>0</v>
      </c>
      <c r="AB98">
        <f t="shared" si="83"/>
        <v>0</v>
      </c>
      <c r="AD98" s="27"/>
      <c r="AM98" s="1"/>
      <c r="AN98" s="1"/>
      <c r="AO98" s="1"/>
      <c r="AP98" s="1"/>
      <c r="BC98" s="1"/>
      <c r="BD98" s="1"/>
    </row>
    <row r="99" spans="1:56" ht="13.5" hidden="1" x14ac:dyDescent="0.25">
      <c r="A99" s="257"/>
      <c r="C99" t="str">
        <f t="shared" ref="C99:D99" si="106">C69</f>
        <v/>
      </c>
      <c r="D99" t="str">
        <f t="shared" si="106"/>
        <v/>
      </c>
      <c r="E99" s="428" t="str">
        <f t="shared" si="85"/>
        <v/>
      </c>
      <c r="F99" s="428" t="str">
        <f t="shared" ref="F99:L99" si="107">IF(COUNTBLANK(F28)=0,F28,"")</f>
        <v/>
      </c>
      <c r="G99" s="432" t="str">
        <f t="shared" si="107"/>
        <v/>
      </c>
      <c r="H99" s="428" t="str">
        <f t="shared" si="107"/>
        <v/>
      </c>
      <c r="I99" s="428" t="str">
        <f t="shared" si="107"/>
        <v/>
      </c>
      <c r="J99" s="428" t="str">
        <f t="shared" si="107"/>
        <v/>
      </c>
      <c r="K99" s="428" t="str">
        <f t="shared" si="107"/>
        <v/>
      </c>
      <c r="L99" s="428" t="str">
        <f t="shared" si="107"/>
        <v/>
      </c>
      <c r="M99" t="str">
        <f>IF(COUNTBLANK(M28)=0,'Cost Calc'!O$8,"")</f>
        <v/>
      </c>
      <c r="N99" t="str">
        <f>IF(COUNTBLANK(N28)=0,'Cost Calc'!P$8,"")</f>
        <v/>
      </c>
      <c r="O99" t="str">
        <f>IF(COUNTBLANK(O28)=0,'Cost Calc'!Q$8,"")</f>
        <v/>
      </c>
      <c r="P99" t="str">
        <f>IF(COUNTBLANK(P28)=0,'Cost Calc'!R$8,"")</f>
        <v/>
      </c>
      <c r="Q99" t="str">
        <f>IF(COUNTBLANK(Q28)=0,'Cost Calc'!S$8,"")</f>
        <v/>
      </c>
      <c r="R99" t="str">
        <f>IF(COUNTBLANK(R28)=0,'Cost Calc'!T$8,"")</f>
        <v/>
      </c>
      <c r="S99" t="str">
        <f>IF(COUNTBLANK(S28)=0,'Cost Calc'!U$8,"")</f>
        <v/>
      </c>
      <c r="T99" t="str">
        <f>IF(COUNTBLANK(T28)=0,'Cost Calc'!U$8,"")</f>
        <v/>
      </c>
      <c r="U99" t="str">
        <f t="shared" si="87"/>
        <v/>
      </c>
      <c r="V99" t="str">
        <f>IF(COUNTBLANK(V28)=0,'Cost Calc'!X$8,"")</f>
        <v/>
      </c>
      <c r="W99" t="str">
        <f>IF(COUNTBLANK(W28)=0,'Cost Calc'!X$8,"")</f>
        <v/>
      </c>
      <c r="X99" t="str">
        <f>IF(COUNTBLANK(X28)=0,'Cost Calc'!Z$8,"")</f>
        <v/>
      </c>
      <c r="Y99" t="str">
        <f>IF(OR(Y28="A",Y28="X",Y28="a",Y28="x"),'Cost Calc'!AB$8,"")</f>
        <v/>
      </c>
      <c r="Z99" t="str">
        <f>IF(OR(Y28="B",Y28="b"),'Cost Calc'!AC$8,"")</f>
        <v/>
      </c>
      <c r="AA99" s="271">
        <f>IF(COUNTBLANK(C99:D99)&lt;2,IF(L99="N",'Cost Calc'!K$37,'Cost Calc'!K$38),0)</f>
        <v>0</v>
      </c>
      <c r="AB99">
        <f t="shared" si="83"/>
        <v>0</v>
      </c>
      <c r="AD99" s="27"/>
      <c r="AM99" s="1"/>
      <c r="AN99" s="1"/>
      <c r="AO99" s="1"/>
      <c r="AP99" s="1"/>
      <c r="BC99" s="1"/>
      <c r="BD99" s="1"/>
    </row>
    <row r="100" spans="1:56" ht="13.5" hidden="1" x14ac:dyDescent="0.25">
      <c r="A100" s="257"/>
      <c r="C100" t="str">
        <f t="shared" ref="C100:D100" si="108">C70</f>
        <v/>
      </c>
      <c r="D100" t="str">
        <f t="shared" si="108"/>
        <v/>
      </c>
      <c r="E100" s="428" t="str">
        <f t="shared" si="85"/>
        <v/>
      </c>
      <c r="F100" s="428" t="str">
        <f t="shared" ref="F100:L100" si="109">IF(COUNTBLANK(F29)=0,F29,"")</f>
        <v/>
      </c>
      <c r="G100" s="432" t="str">
        <f t="shared" si="109"/>
        <v/>
      </c>
      <c r="H100" s="428" t="str">
        <f t="shared" si="109"/>
        <v/>
      </c>
      <c r="I100" s="428" t="str">
        <f t="shared" si="109"/>
        <v/>
      </c>
      <c r="J100" s="428" t="str">
        <f t="shared" si="109"/>
        <v/>
      </c>
      <c r="K100" s="428" t="str">
        <f t="shared" si="109"/>
        <v/>
      </c>
      <c r="L100" s="428" t="str">
        <f t="shared" si="109"/>
        <v/>
      </c>
      <c r="M100" t="str">
        <f>IF(COUNTBLANK(M29)=0,'Cost Calc'!O$8,"")</f>
        <v/>
      </c>
      <c r="N100" t="str">
        <f>IF(COUNTBLANK(N29)=0,'Cost Calc'!P$8,"")</f>
        <v/>
      </c>
      <c r="O100" t="str">
        <f>IF(COUNTBLANK(O29)=0,'Cost Calc'!Q$8,"")</f>
        <v/>
      </c>
      <c r="P100" t="str">
        <f>IF(COUNTBLANK(P29)=0,'Cost Calc'!R$8,"")</f>
        <v/>
      </c>
      <c r="Q100" t="str">
        <f>IF(COUNTBLANK(Q29)=0,'Cost Calc'!S$8,"")</f>
        <v/>
      </c>
      <c r="R100" t="str">
        <f>IF(COUNTBLANK(R29)=0,'Cost Calc'!T$8,"")</f>
        <v/>
      </c>
      <c r="S100" t="str">
        <f>IF(COUNTBLANK(S29)=0,'Cost Calc'!U$8,"")</f>
        <v/>
      </c>
      <c r="T100" t="str">
        <f>IF(COUNTBLANK(T29)=0,'Cost Calc'!U$8,"")</f>
        <v/>
      </c>
      <c r="U100" t="str">
        <f t="shared" si="87"/>
        <v/>
      </c>
      <c r="V100" t="str">
        <f>IF(COUNTBLANK(V29)=0,'Cost Calc'!X$8,"")</f>
        <v/>
      </c>
      <c r="W100" t="str">
        <f>IF(COUNTBLANK(W29)=0,'Cost Calc'!X$8,"")</f>
        <v/>
      </c>
      <c r="X100" t="str">
        <f>IF(COUNTBLANK(X29)=0,'Cost Calc'!Z$8,"")</f>
        <v/>
      </c>
      <c r="Y100" t="str">
        <f>IF(OR(Y29="A",Y29="X",Y29="a",Y29="x"),'Cost Calc'!AB$8,"")</f>
        <v/>
      </c>
      <c r="Z100" t="str">
        <f>IF(OR(Y29="B",Y29="b"),'Cost Calc'!AC$8,"")</f>
        <v/>
      </c>
      <c r="AA100" s="271">
        <f>IF(COUNTBLANK(C100:D100)&lt;2,IF(L100="N",'Cost Calc'!K$37,'Cost Calc'!K$38),0)</f>
        <v>0</v>
      </c>
      <c r="AB100">
        <f t="shared" si="83"/>
        <v>0</v>
      </c>
      <c r="AD100" s="27"/>
      <c r="AM100" s="1"/>
      <c r="AN100" s="1"/>
      <c r="AO100" s="1"/>
      <c r="AP100" s="1"/>
      <c r="BC100" s="1"/>
      <c r="BD100" s="1"/>
    </row>
    <row r="101" spans="1:56" ht="13.5" hidden="1" x14ac:dyDescent="0.25">
      <c r="A101" s="257"/>
      <c r="C101" t="str">
        <f t="shared" ref="C101:D101" si="110">C71</f>
        <v/>
      </c>
      <c r="D101" t="str">
        <f t="shared" si="110"/>
        <v/>
      </c>
      <c r="E101" s="428" t="str">
        <f t="shared" si="85"/>
        <v/>
      </c>
      <c r="F101" s="428" t="str">
        <f t="shared" ref="F101:L101" si="111">IF(COUNTBLANK(F30)=0,F30,"")</f>
        <v/>
      </c>
      <c r="G101" s="432" t="str">
        <f t="shared" si="111"/>
        <v/>
      </c>
      <c r="H101" s="428" t="str">
        <f t="shared" si="111"/>
        <v/>
      </c>
      <c r="I101" s="428" t="str">
        <f t="shared" si="111"/>
        <v/>
      </c>
      <c r="J101" s="428" t="str">
        <f t="shared" si="111"/>
        <v/>
      </c>
      <c r="K101" s="428" t="str">
        <f t="shared" si="111"/>
        <v/>
      </c>
      <c r="L101" s="428" t="str">
        <f t="shared" si="111"/>
        <v/>
      </c>
      <c r="M101" t="str">
        <f>IF(COUNTBLANK(M30)=0,'Cost Calc'!O$8,"")</f>
        <v/>
      </c>
      <c r="N101" t="str">
        <f>IF(COUNTBLANK(N30)=0,'Cost Calc'!P$8,"")</f>
        <v/>
      </c>
      <c r="O101" t="str">
        <f>IF(COUNTBLANK(O30)=0,'Cost Calc'!Q$8,"")</f>
        <v/>
      </c>
      <c r="P101" t="str">
        <f>IF(COUNTBLANK(P30)=0,'Cost Calc'!R$8,"")</f>
        <v/>
      </c>
      <c r="Q101" t="str">
        <f>IF(COUNTBLANK(Q30)=0,'Cost Calc'!S$8,"")</f>
        <v/>
      </c>
      <c r="R101" t="str">
        <f>IF(COUNTBLANK(R30)=0,'Cost Calc'!T$8,"")</f>
        <v/>
      </c>
      <c r="S101" t="str">
        <f>IF(COUNTBLANK(S30)=0,'Cost Calc'!U$8,"")</f>
        <v/>
      </c>
      <c r="T101" t="str">
        <f>IF(COUNTBLANK(T30)=0,'Cost Calc'!U$8,"")</f>
        <v/>
      </c>
      <c r="U101" t="str">
        <f t="shared" si="87"/>
        <v/>
      </c>
      <c r="V101" t="str">
        <f>IF(COUNTBLANK(V30)=0,'Cost Calc'!X$8,"")</f>
        <v/>
      </c>
      <c r="W101" t="str">
        <f>IF(COUNTBLANK(W30)=0,'Cost Calc'!X$8,"")</f>
        <v/>
      </c>
      <c r="X101" t="str">
        <f>IF(COUNTBLANK(X30)=0,'Cost Calc'!Z$8,"")</f>
        <v/>
      </c>
      <c r="Y101" t="str">
        <f>IF(OR(Y30="A",Y30="X",Y30="a",Y30="x"),'Cost Calc'!AB$8,"")</f>
        <v/>
      </c>
      <c r="Z101" t="str">
        <f>IF(OR(Y30="B",Y30="b"),'Cost Calc'!AC$8,"")</f>
        <v/>
      </c>
      <c r="AA101" s="271">
        <f>IF(COUNTBLANK(C101:D101)&lt;2,IF(L101="N",'Cost Calc'!K$37,'Cost Calc'!K$38),0)</f>
        <v>0</v>
      </c>
      <c r="AB101">
        <f t="shared" si="83"/>
        <v>0</v>
      </c>
      <c r="AD101" s="27"/>
      <c r="AM101" s="1"/>
      <c r="AN101" s="1"/>
      <c r="AO101" s="1"/>
      <c r="AP101" s="1"/>
      <c r="BC101" s="1"/>
      <c r="BD101" s="1"/>
    </row>
    <row r="102" spans="1:56" ht="13.5" hidden="1" x14ac:dyDescent="0.25">
      <c r="A102" s="257"/>
      <c r="C102" t="str">
        <f t="shared" ref="C102:D102" si="112">C72</f>
        <v/>
      </c>
      <c r="D102" t="str">
        <f t="shared" si="112"/>
        <v/>
      </c>
      <c r="E102" s="428" t="str">
        <f t="shared" si="85"/>
        <v/>
      </c>
      <c r="F102" s="428" t="str">
        <f t="shared" ref="F102:L102" si="113">IF(COUNTBLANK(F31)=0,F31,"")</f>
        <v/>
      </c>
      <c r="G102" s="432" t="str">
        <f t="shared" si="113"/>
        <v/>
      </c>
      <c r="H102" s="428" t="str">
        <f t="shared" si="113"/>
        <v/>
      </c>
      <c r="I102" s="428" t="str">
        <f t="shared" si="113"/>
        <v/>
      </c>
      <c r="J102" s="428" t="str">
        <f t="shared" si="113"/>
        <v/>
      </c>
      <c r="K102" s="428" t="str">
        <f t="shared" si="113"/>
        <v/>
      </c>
      <c r="L102" s="428" t="str">
        <f t="shared" si="113"/>
        <v/>
      </c>
      <c r="M102" t="str">
        <f>IF(COUNTBLANK(M31)=0,'Cost Calc'!O$8,"")</f>
        <v/>
      </c>
      <c r="N102" t="str">
        <f>IF(COUNTBLANK(N31)=0,'Cost Calc'!P$8,"")</f>
        <v/>
      </c>
      <c r="O102" t="str">
        <f>IF(COUNTBLANK(O31)=0,'Cost Calc'!Q$8,"")</f>
        <v/>
      </c>
      <c r="P102" t="str">
        <f>IF(COUNTBLANK(P31)=0,'Cost Calc'!R$8,"")</f>
        <v/>
      </c>
      <c r="Q102" t="str">
        <f>IF(COUNTBLANK(Q31)=0,'Cost Calc'!S$8,"")</f>
        <v/>
      </c>
      <c r="R102" t="str">
        <f>IF(COUNTBLANK(R31)=0,'Cost Calc'!T$8,"")</f>
        <v/>
      </c>
      <c r="S102" t="str">
        <f>IF(COUNTBLANK(S31)=0,'Cost Calc'!U$8,"")</f>
        <v/>
      </c>
      <c r="T102" t="str">
        <f>IF(COUNTBLANK(T31)=0,'Cost Calc'!U$8,"")</f>
        <v/>
      </c>
      <c r="U102" t="str">
        <f t="shared" si="87"/>
        <v/>
      </c>
      <c r="V102" t="str">
        <f>IF(COUNTBLANK(V31)=0,'Cost Calc'!X$8,"")</f>
        <v/>
      </c>
      <c r="W102" t="str">
        <f>IF(COUNTBLANK(W31)=0,'Cost Calc'!X$8,"")</f>
        <v/>
      </c>
      <c r="X102" t="str">
        <f>IF(COUNTBLANK(X31)=0,'Cost Calc'!Z$8,"")</f>
        <v/>
      </c>
      <c r="Y102" t="str">
        <f>IF(OR(Y31="A",Y31="X",Y31="a",Y31="x"),'Cost Calc'!AB$8,"")</f>
        <v/>
      </c>
      <c r="Z102" t="str">
        <f>IF(OR(Y31="B",Y31="b"),'Cost Calc'!AC$8,"")</f>
        <v/>
      </c>
      <c r="AA102" s="271">
        <f>IF(COUNTBLANK(C102:D102)&lt;2,IF(L102="N",'Cost Calc'!K$37,'Cost Calc'!K$38),0)</f>
        <v>0</v>
      </c>
      <c r="AB102">
        <f t="shared" si="83"/>
        <v>0</v>
      </c>
      <c r="AD102" s="27"/>
      <c r="AM102" s="1"/>
      <c r="AN102" s="1"/>
      <c r="AO102" s="1"/>
      <c r="AP102" s="1"/>
      <c r="BC102" s="1"/>
      <c r="BD102" s="1"/>
    </row>
    <row r="103" spans="1:56" ht="13.5" hidden="1" x14ac:dyDescent="0.25">
      <c r="A103" s="257"/>
      <c r="C103" t="str">
        <f t="shared" ref="C103:D103" si="114">C73</f>
        <v/>
      </c>
      <c r="D103" t="str">
        <f t="shared" si="114"/>
        <v/>
      </c>
      <c r="E103" s="428" t="str">
        <f t="shared" si="85"/>
        <v/>
      </c>
      <c r="F103" s="428" t="str">
        <f t="shared" ref="F103:L103" si="115">IF(COUNTBLANK(F32)=0,F32,"")</f>
        <v/>
      </c>
      <c r="G103" s="432" t="str">
        <f t="shared" si="115"/>
        <v/>
      </c>
      <c r="H103" s="428" t="str">
        <f t="shared" si="115"/>
        <v/>
      </c>
      <c r="I103" s="428" t="str">
        <f t="shared" si="115"/>
        <v/>
      </c>
      <c r="J103" s="428" t="str">
        <f t="shared" si="115"/>
        <v/>
      </c>
      <c r="K103" s="428" t="str">
        <f t="shared" si="115"/>
        <v/>
      </c>
      <c r="L103" s="428" t="str">
        <f t="shared" si="115"/>
        <v/>
      </c>
      <c r="M103" t="str">
        <f>IF(COUNTBLANK(M32)=0,'Cost Calc'!O$8,"")</f>
        <v/>
      </c>
      <c r="N103" t="str">
        <f>IF(COUNTBLANK(N32)=0,'Cost Calc'!P$8,"")</f>
        <v/>
      </c>
      <c r="O103" t="str">
        <f>IF(COUNTBLANK(O32)=0,'Cost Calc'!Q$8,"")</f>
        <v/>
      </c>
      <c r="P103" t="str">
        <f>IF(COUNTBLANK(P32)=0,'Cost Calc'!R$8,"")</f>
        <v/>
      </c>
      <c r="Q103" t="str">
        <f>IF(COUNTBLANK(Q32)=0,'Cost Calc'!S$8,"")</f>
        <v/>
      </c>
      <c r="R103" t="str">
        <f>IF(COUNTBLANK(R32)=0,'Cost Calc'!T$8,"")</f>
        <v/>
      </c>
      <c r="S103" t="str">
        <f>IF(COUNTBLANK(S32)=0,'Cost Calc'!U$8,"")</f>
        <v/>
      </c>
      <c r="T103" t="str">
        <f>IF(COUNTBLANK(T32)=0,'Cost Calc'!U$8,"")</f>
        <v/>
      </c>
      <c r="U103" t="str">
        <f t="shared" si="87"/>
        <v/>
      </c>
      <c r="V103" t="str">
        <f>IF(COUNTBLANK(V32)=0,'Cost Calc'!X$8,"")</f>
        <v/>
      </c>
      <c r="W103" t="str">
        <f>IF(COUNTBLANK(W32)=0,'Cost Calc'!X$8,"")</f>
        <v/>
      </c>
      <c r="X103" t="str">
        <f>IF(COUNTBLANK(X32)=0,'Cost Calc'!Z$8,"")</f>
        <v/>
      </c>
      <c r="Y103" t="str">
        <f>IF(OR(Y32="A",Y32="X",Y32="a",Y32="x"),'Cost Calc'!AB$8,"")</f>
        <v/>
      </c>
      <c r="Z103" t="str">
        <f>IF(OR(Y32="B",Y32="b"),'Cost Calc'!AC$8,"")</f>
        <v/>
      </c>
      <c r="AA103" s="271">
        <f>IF(COUNTBLANK(C103:D103)&lt;2,IF(L103="N",'Cost Calc'!K$37,'Cost Calc'!K$38),0)</f>
        <v>0</v>
      </c>
      <c r="AB103">
        <f t="shared" si="83"/>
        <v>0</v>
      </c>
      <c r="AD103" s="27"/>
      <c r="AM103" s="1"/>
      <c r="AN103" s="1"/>
      <c r="AO103" s="1"/>
      <c r="AP103" s="1"/>
      <c r="BC103" s="1"/>
      <c r="BD103" s="1"/>
    </row>
    <row r="104" spans="1:56" ht="13.5" hidden="1" x14ac:dyDescent="0.25">
      <c r="A104" s="257"/>
      <c r="C104" t="str">
        <f t="shared" ref="C104:D104" si="116">C74</f>
        <v/>
      </c>
      <c r="D104" t="str">
        <f t="shared" si="116"/>
        <v/>
      </c>
      <c r="E104" s="428" t="str">
        <f t="shared" si="85"/>
        <v/>
      </c>
      <c r="F104" s="428" t="str">
        <f t="shared" ref="F104:L104" si="117">IF(COUNTBLANK(F33)=0,F33,"")</f>
        <v/>
      </c>
      <c r="G104" s="432" t="str">
        <f t="shared" si="117"/>
        <v/>
      </c>
      <c r="H104" s="428" t="str">
        <f t="shared" si="117"/>
        <v/>
      </c>
      <c r="I104" s="428" t="str">
        <f t="shared" si="117"/>
        <v/>
      </c>
      <c r="J104" s="428" t="str">
        <f t="shared" si="117"/>
        <v/>
      </c>
      <c r="K104" s="428" t="str">
        <f t="shared" si="117"/>
        <v/>
      </c>
      <c r="L104" s="428" t="str">
        <f t="shared" si="117"/>
        <v/>
      </c>
      <c r="M104" t="str">
        <f>IF(COUNTBLANK(M33)=0,'Cost Calc'!O$8,"")</f>
        <v/>
      </c>
      <c r="N104" t="str">
        <f>IF(COUNTBLANK(N33)=0,'Cost Calc'!P$8,"")</f>
        <v/>
      </c>
      <c r="O104" t="str">
        <f>IF(COUNTBLANK(O33)=0,'Cost Calc'!Q$8,"")</f>
        <v/>
      </c>
      <c r="P104" t="str">
        <f>IF(COUNTBLANK(P33)=0,'Cost Calc'!R$8,"")</f>
        <v/>
      </c>
      <c r="Q104" t="str">
        <f>IF(COUNTBLANK(Q33)=0,'Cost Calc'!S$8,"")</f>
        <v/>
      </c>
      <c r="R104" t="str">
        <f>IF(COUNTBLANK(R33)=0,'Cost Calc'!T$8,"")</f>
        <v/>
      </c>
      <c r="S104" t="str">
        <f>IF(COUNTBLANK(S33)=0,'Cost Calc'!U$8,"")</f>
        <v/>
      </c>
      <c r="T104" t="str">
        <f>IF(COUNTBLANK(T33)=0,'Cost Calc'!U$8,"")</f>
        <v/>
      </c>
      <c r="U104" t="str">
        <f t="shared" si="87"/>
        <v/>
      </c>
      <c r="V104" t="str">
        <f>IF(COUNTBLANK(V33)=0,'Cost Calc'!X$8,"")</f>
        <v/>
      </c>
      <c r="W104" t="str">
        <f>IF(COUNTBLANK(W33)=0,'Cost Calc'!X$8,"")</f>
        <v/>
      </c>
      <c r="X104" t="str">
        <f>IF(COUNTBLANK(X33)=0,'Cost Calc'!Z$8,"")</f>
        <v/>
      </c>
      <c r="Y104" t="str">
        <f>IF(OR(Y33="A",Y33="X",Y33="a",Y33="x"),'Cost Calc'!AB$8,"")</f>
        <v/>
      </c>
      <c r="Z104" t="str">
        <f>IF(OR(Y33="B",Y33="b"),'Cost Calc'!AC$8,"")</f>
        <v/>
      </c>
      <c r="AA104" s="271">
        <f>IF(COUNTBLANK(C104:D104)&lt;2,IF(L104="N",'Cost Calc'!K$37,'Cost Calc'!K$38),0)</f>
        <v>0</v>
      </c>
      <c r="AB104">
        <f t="shared" si="83"/>
        <v>0</v>
      </c>
      <c r="AD104" s="27"/>
      <c r="AM104" s="1"/>
      <c r="AN104" s="1"/>
      <c r="AO104" s="1"/>
      <c r="AP104" s="1"/>
      <c r="BC104" s="1"/>
      <c r="BD104" s="1"/>
    </row>
    <row r="105" spans="1:56" ht="13.5" hidden="1" x14ac:dyDescent="0.25">
      <c r="A105" s="257"/>
      <c r="C105" t="str">
        <f t="shared" ref="C105:D105" si="118">C75</f>
        <v/>
      </c>
      <c r="D105" t="str">
        <f t="shared" si="118"/>
        <v/>
      </c>
      <c r="E105" s="428" t="str">
        <f t="shared" si="85"/>
        <v/>
      </c>
      <c r="F105" s="428" t="str">
        <f t="shared" ref="F105:L105" si="119">IF(COUNTBLANK(F34)=0,F34,"")</f>
        <v/>
      </c>
      <c r="G105" s="432" t="str">
        <f t="shared" si="119"/>
        <v/>
      </c>
      <c r="H105" s="428" t="str">
        <f t="shared" si="119"/>
        <v/>
      </c>
      <c r="I105" s="428" t="str">
        <f t="shared" si="119"/>
        <v/>
      </c>
      <c r="J105" s="428" t="str">
        <f t="shared" si="119"/>
        <v/>
      </c>
      <c r="K105" s="428" t="str">
        <f t="shared" si="119"/>
        <v/>
      </c>
      <c r="L105" s="428" t="str">
        <f t="shared" si="119"/>
        <v/>
      </c>
      <c r="M105" t="str">
        <f>IF(COUNTBLANK(M34)=0,'Cost Calc'!O$8,"")</f>
        <v/>
      </c>
      <c r="N105" t="str">
        <f>IF(COUNTBLANK(N34)=0,'Cost Calc'!P$8,"")</f>
        <v/>
      </c>
      <c r="O105" t="str">
        <f>IF(COUNTBLANK(O34)=0,'Cost Calc'!Q$8,"")</f>
        <v/>
      </c>
      <c r="P105" t="str">
        <f>IF(COUNTBLANK(P34)=0,'Cost Calc'!R$8,"")</f>
        <v/>
      </c>
      <c r="Q105" t="str">
        <f>IF(COUNTBLANK(Q34)=0,'Cost Calc'!S$8,"")</f>
        <v/>
      </c>
      <c r="R105" t="str">
        <f>IF(COUNTBLANK(R34)=0,'Cost Calc'!T$8,"")</f>
        <v/>
      </c>
      <c r="S105" t="str">
        <f>IF(COUNTBLANK(S34)=0,'Cost Calc'!U$8,"")</f>
        <v/>
      </c>
      <c r="T105" t="str">
        <f>IF(COUNTBLANK(T34)=0,'Cost Calc'!U$8,"")</f>
        <v/>
      </c>
      <c r="U105" t="str">
        <f t="shared" si="87"/>
        <v/>
      </c>
      <c r="V105" t="str">
        <f>IF(COUNTBLANK(V34)=0,'Cost Calc'!X$8,"")</f>
        <v/>
      </c>
      <c r="W105" t="str">
        <f>IF(COUNTBLANK(W34)=0,'Cost Calc'!X$8,"")</f>
        <v/>
      </c>
      <c r="X105" t="str">
        <f>IF(COUNTBLANK(X34)=0,'Cost Calc'!Z$8,"")</f>
        <v/>
      </c>
      <c r="Y105" t="str">
        <f>IF(OR(Y34="A",Y34="X",Y34="a",Y34="x"),'Cost Calc'!AB$8,"")</f>
        <v/>
      </c>
      <c r="Z105" t="str">
        <f>IF(OR(Y34="B",Y34="b"),'Cost Calc'!AC$8,"")</f>
        <v/>
      </c>
      <c r="AA105" s="271">
        <f>IF(COUNTBLANK(C105:D105)&lt;2,IF(L105="N",'Cost Calc'!K$37,'Cost Calc'!K$38),0)</f>
        <v>0</v>
      </c>
      <c r="AB105">
        <f t="shared" si="83"/>
        <v>0</v>
      </c>
      <c r="AD105" s="27"/>
      <c r="AM105" s="1"/>
      <c r="AN105" s="1"/>
      <c r="AO105" s="1"/>
      <c r="AP105" s="1"/>
      <c r="BC105" s="1"/>
      <c r="BD105" s="1"/>
    </row>
    <row r="106" spans="1:56" ht="13.5" hidden="1" x14ac:dyDescent="0.25">
      <c r="A106" s="257"/>
      <c r="C106" t="str">
        <f t="shared" ref="C106:D106" si="120">C76</f>
        <v/>
      </c>
      <c r="D106" t="str">
        <f t="shared" si="120"/>
        <v/>
      </c>
      <c r="E106" s="428" t="str">
        <f t="shared" si="85"/>
        <v/>
      </c>
      <c r="F106" s="428" t="str">
        <f t="shared" ref="F106:L106" si="121">IF(COUNTBLANK(F35)=0,F35,"")</f>
        <v/>
      </c>
      <c r="G106" s="432" t="str">
        <f t="shared" si="121"/>
        <v/>
      </c>
      <c r="H106" s="428" t="str">
        <f t="shared" si="121"/>
        <v/>
      </c>
      <c r="I106" s="428" t="str">
        <f t="shared" si="121"/>
        <v/>
      </c>
      <c r="J106" s="428" t="str">
        <f t="shared" si="121"/>
        <v/>
      </c>
      <c r="K106" s="428" t="str">
        <f t="shared" si="121"/>
        <v/>
      </c>
      <c r="L106" s="428" t="str">
        <f t="shared" si="121"/>
        <v/>
      </c>
      <c r="M106" t="str">
        <f>IF(COUNTBLANK(M35)=0,'Cost Calc'!O$8,"")</f>
        <v/>
      </c>
      <c r="N106" t="str">
        <f>IF(COUNTBLANK(N35)=0,'Cost Calc'!P$8,"")</f>
        <v/>
      </c>
      <c r="O106" t="str">
        <f>IF(COUNTBLANK(O35)=0,'Cost Calc'!Q$8,"")</f>
        <v/>
      </c>
      <c r="P106" t="str">
        <f>IF(COUNTBLANK(P35)=0,'Cost Calc'!R$8,"")</f>
        <v/>
      </c>
      <c r="Q106" t="str">
        <f>IF(COUNTBLANK(Q35)=0,'Cost Calc'!S$8,"")</f>
        <v/>
      </c>
      <c r="R106" t="str">
        <f>IF(COUNTBLANK(R35)=0,'Cost Calc'!T$8,"")</f>
        <v/>
      </c>
      <c r="S106" t="str">
        <f>IF(COUNTBLANK(S35)=0,'Cost Calc'!U$8,"")</f>
        <v/>
      </c>
      <c r="T106" t="str">
        <f>IF(COUNTBLANK(T35)=0,'Cost Calc'!U$8,"")</f>
        <v/>
      </c>
      <c r="U106" t="str">
        <f t="shared" si="87"/>
        <v/>
      </c>
      <c r="V106" t="str">
        <f>IF(COUNTBLANK(V35)=0,'Cost Calc'!X$8,"")</f>
        <v/>
      </c>
      <c r="W106" t="str">
        <f>IF(COUNTBLANK(W35)=0,'Cost Calc'!X$8,"")</f>
        <v/>
      </c>
      <c r="X106" t="str">
        <f>IF(COUNTBLANK(X35)=0,'Cost Calc'!Z$8,"")</f>
        <v/>
      </c>
      <c r="Y106" t="str">
        <f>IF(OR(Y35="A",Y35="X",Y35="a",Y35="x"),'Cost Calc'!AB$8,"")</f>
        <v/>
      </c>
      <c r="Z106" t="str">
        <f>IF(OR(Y35="B",Y35="b"),'Cost Calc'!AC$8,"")</f>
        <v/>
      </c>
      <c r="AA106" s="271">
        <f>IF(COUNTBLANK(C106:D106)&lt;2,IF(L106="N",'Cost Calc'!K$37,'Cost Calc'!K$38),0)</f>
        <v>0</v>
      </c>
      <c r="AB106">
        <f t="shared" si="83"/>
        <v>0</v>
      </c>
      <c r="AD106" s="27"/>
      <c r="AM106" s="1"/>
      <c r="AN106" s="1"/>
      <c r="AO106" s="1"/>
      <c r="AP106" s="1"/>
      <c r="BC106" s="1"/>
      <c r="BD106" s="1"/>
    </row>
    <row r="107" spans="1:56" ht="13.5" hidden="1" x14ac:dyDescent="0.25">
      <c r="A107" s="257"/>
      <c r="C107" t="str">
        <f t="shared" ref="C107:D107" si="122">C77</f>
        <v/>
      </c>
      <c r="D107" t="str">
        <f t="shared" si="122"/>
        <v/>
      </c>
      <c r="E107" s="428" t="str">
        <f t="shared" si="85"/>
        <v/>
      </c>
      <c r="F107" s="428" t="str">
        <f t="shared" ref="F107:L107" si="123">IF(COUNTBLANK(F36)=0,F36,"")</f>
        <v/>
      </c>
      <c r="G107" s="432" t="str">
        <f t="shared" si="123"/>
        <v/>
      </c>
      <c r="H107" s="428" t="str">
        <f t="shared" si="123"/>
        <v/>
      </c>
      <c r="I107" s="428" t="str">
        <f t="shared" si="123"/>
        <v/>
      </c>
      <c r="J107" s="428" t="str">
        <f t="shared" si="123"/>
        <v/>
      </c>
      <c r="K107" s="428" t="str">
        <f t="shared" si="123"/>
        <v/>
      </c>
      <c r="L107" s="428" t="str">
        <f t="shared" si="123"/>
        <v/>
      </c>
      <c r="M107" t="str">
        <f>IF(COUNTBLANK(M36)=0,'Cost Calc'!O$8,"")</f>
        <v/>
      </c>
      <c r="N107" t="str">
        <f>IF(COUNTBLANK(N36)=0,'Cost Calc'!P$8,"")</f>
        <v/>
      </c>
      <c r="O107" t="str">
        <f>IF(COUNTBLANK(O36)=0,'Cost Calc'!Q$8,"")</f>
        <v/>
      </c>
      <c r="P107" t="str">
        <f>IF(COUNTBLANK(P36)=0,'Cost Calc'!R$8,"")</f>
        <v/>
      </c>
      <c r="Q107" t="str">
        <f>IF(COUNTBLANK(Q36)=0,'Cost Calc'!S$8,"")</f>
        <v/>
      </c>
      <c r="R107" t="str">
        <f>IF(COUNTBLANK(R36)=0,'Cost Calc'!T$8,"")</f>
        <v/>
      </c>
      <c r="S107" t="str">
        <f>IF(COUNTBLANK(S36)=0,'Cost Calc'!U$8,"")</f>
        <v/>
      </c>
      <c r="T107" t="str">
        <f>IF(COUNTBLANK(T36)=0,'Cost Calc'!U$8,"")</f>
        <v/>
      </c>
      <c r="U107" t="str">
        <f t="shared" si="87"/>
        <v/>
      </c>
      <c r="V107" t="str">
        <f>IF(COUNTBLANK(V36)=0,'Cost Calc'!X$8,"")</f>
        <v/>
      </c>
      <c r="W107" t="str">
        <f>IF(COUNTBLANK(W36)=0,'Cost Calc'!X$8,"")</f>
        <v/>
      </c>
      <c r="X107" t="str">
        <f>IF(COUNTBLANK(X36)=0,'Cost Calc'!Z$8,"")</f>
        <v/>
      </c>
      <c r="Y107" t="str">
        <f>IF(OR(Y36="A",Y36="X",Y36="a",Y36="x"),'Cost Calc'!AB$8,"")</f>
        <v/>
      </c>
      <c r="Z107" t="str">
        <f>IF(OR(Y36="B",Y36="b"),'Cost Calc'!AC$8,"")</f>
        <v/>
      </c>
      <c r="AA107" s="271">
        <f>IF(COUNTBLANK(C107:D107)&lt;2,IF(L107="N",'Cost Calc'!K$37,'Cost Calc'!K$38),0)</f>
        <v>0</v>
      </c>
      <c r="AB107">
        <f t="shared" si="83"/>
        <v>0</v>
      </c>
      <c r="AD107" s="27"/>
      <c r="AM107" s="1"/>
      <c r="AN107" s="1"/>
      <c r="AO107" s="1"/>
      <c r="AP107" s="1"/>
      <c r="BC107" s="1"/>
      <c r="BD107" s="1"/>
    </row>
    <row r="108" spans="1:56" ht="13.5" hidden="1" x14ac:dyDescent="0.25">
      <c r="A108" s="257"/>
      <c r="C108" t="str">
        <f t="shared" ref="C108:D108" si="124">C78</f>
        <v/>
      </c>
      <c r="D108" t="str">
        <f t="shared" si="124"/>
        <v/>
      </c>
      <c r="E108" s="428" t="str">
        <f t="shared" si="85"/>
        <v/>
      </c>
      <c r="F108" s="428" t="str">
        <f t="shared" ref="F108:L108" si="125">IF(COUNTBLANK(F37)=0,F37,"")</f>
        <v/>
      </c>
      <c r="G108" s="432" t="str">
        <f t="shared" si="125"/>
        <v/>
      </c>
      <c r="H108" s="428" t="str">
        <f t="shared" si="125"/>
        <v/>
      </c>
      <c r="I108" s="428" t="str">
        <f t="shared" si="125"/>
        <v/>
      </c>
      <c r="J108" s="428" t="str">
        <f t="shared" si="125"/>
        <v/>
      </c>
      <c r="K108" s="428" t="str">
        <f t="shared" si="125"/>
        <v/>
      </c>
      <c r="L108" s="428" t="str">
        <f t="shared" si="125"/>
        <v/>
      </c>
      <c r="M108" t="str">
        <f>IF(COUNTBLANK(M37)=0,'Cost Calc'!O$8,"")</f>
        <v/>
      </c>
      <c r="N108" t="str">
        <f>IF(COUNTBLANK(N37)=0,'Cost Calc'!P$8,"")</f>
        <v/>
      </c>
      <c r="O108" t="str">
        <f>IF(COUNTBLANK(O37)=0,'Cost Calc'!Q$8,"")</f>
        <v/>
      </c>
      <c r="P108" t="str">
        <f>IF(COUNTBLANK(P37)=0,'Cost Calc'!R$8,"")</f>
        <v/>
      </c>
      <c r="Q108" t="str">
        <f>IF(COUNTBLANK(Q37)=0,'Cost Calc'!S$8,"")</f>
        <v/>
      </c>
      <c r="R108" t="str">
        <f>IF(COUNTBLANK(R37)=0,'Cost Calc'!T$8,"")</f>
        <v/>
      </c>
      <c r="S108" t="str">
        <f>IF(COUNTBLANK(S37)=0,'Cost Calc'!U$8,"")</f>
        <v/>
      </c>
      <c r="T108" t="str">
        <f>IF(COUNTBLANK(T37)=0,'Cost Calc'!U$8,"")</f>
        <v/>
      </c>
      <c r="U108" t="str">
        <f t="shared" si="87"/>
        <v/>
      </c>
      <c r="V108" t="str">
        <f>IF(COUNTBLANK(V37)=0,'Cost Calc'!X$8,"")</f>
        <v/>
      </c>
      <c r="W108" t="str">
        <f>IF(COUNTBLANK(W37)=0,'Cost Calc'!X$8,"")</f>
        <v/>
      </c>
      <c r="X108" t="str">
        <f>IF(COUNTBLANK(X37)=0,'Cost Calc'!Z$8,"")</f>
        <v/>
      </c>
      <c r="Y108" t="str">
        <f>IF(OR(Y37="A",Y37="X",Y37="a",Y37="x"),'Cost Calc'!AB$8,"")</f>
        <v/>
      </c>
      <c r="Z108" t="str">
        <f>IF(OR(Y37="B",Y37="b"),'Cost Calc'!AC$8,"")</f>
        <v/>
      </c>
      <c r="AA108" s="271">
        <f>IF(COUNTBLANK(C108:D108)&lt;2,IF(L108="N",'Cost Calc'!K$37,'Cost Calc'!K$38),0)</f>
        <v>0</v>
      </c>
      <c r="AB108">
        <f t="shared" si="83"/>
        <v>0</v>
      </c>
      <c r="AD108" s="27"/>
      <c r="AM108" s="1"/>
      <c r="AN108" s="1"/>
      <c r="AO108" s="1"/>
      <c r="AP108" s="1"/>
      <c r="BC108" s="1"/>
      <c r="BD108" s="1"/>
    </row>
    <row r="109" spans="1:56" ht="13.5" hidden="1" x14ac:dyDescent="0.25">
      <c r="A109" s="257"/>
      <c r="C109" t="str">
        <f t="shared" ref="C109:D109" si="126">C79</f>
        <v/>
      </c>
      <c r="D109" t="str">
        <f t="shared" si="126"/>
        <v/>
      </c>
      <c r="E109" s="428" t="str">
        <f t="shared" si="85"/>
        <v/>
      </c>
      <c r="F109" s="428" t="str">
        <f t="shared" ref="F109:L109" si="127">IF(COUNTBLANK(F38)=0,F38,"")</f>
        <v/>
      </c>
      <c r="G109" s="432" t="str">
        <f t="shared" si="127"/>
        <v/>
      </c>
      <c r="H109" s="428" t="str">
        <f t="shared" si="127"/>
        <v/>
      </c>
      <c r="I109" s="428" t="str">
        <f t="shared" si="127"/>
        <v/>
      </c>
      <c r="J109" s="428" t="str">
        <f t="shared" si="127"/>
        <v/>
      </c>
      <c r="K109" s="428" t="str">
        <f t="shared" si="127"/>
        <v/>
      </c>
      <c r="L109" s="428" t="str">
        <f t="shared" si="127"/>
        <v/>
      </c>
      <c r="M109" t="str">
        <f>IF(COUNTBLANK(M38)=0,'Cost Calc'!O$8,"")</f>
        <v/>
      </c>
      <c r="N109" t="str">
        <f>IF(COUNTBLANK(N38)=0,'Cost Calc'!P$8,"")</f>
        <v/>
      </c>
      <c r="O109" t="str">
        <f>IF(COUNTBLANK(O38)=0,'Cost Calc'!Q$8,"")</f>
        <v/>
      </c>
      <c r="P109" t="str">
        <f>IF(COUNTBLANK(P38)=0,'Cost Calc'!R$8,"")</f>
        <v/>
      </c>
      <c r="Q109" t="str">
        <f>IF(COUNTBLANK(Q38)=0,'Cost Calc'!S$8,"")</f>
        <v/>
      </c>
      <c r="R109" t="str">
        <f>IF(COUNTBLANK(R38)=0,'Cost Calc'!T$8,"")</f>
        <v/>
      </c>
      <c r="S109" t="str">
        <f>IF(COUNTBLANK(S38)=0,'Cost Calc'!U$8,"")</f>
        <v/>
      </c>
      <c r="T109" t="str">
        <f>IF(COUNTBLANK(T38)=0,'Cost Calc'!U$8,"")</f>
        <v/>
      </c>
      <c r="U109" t="str">
        <f t="shared" si="87"/>
        <v/>
      </c>
      <c r="V109" t="str">
        <f>IF(COUNTBLANK(V38)=0,'Cost Calc'!X$8,"")</f>
        <v/>
      </c>
      <c r="W109" t="str">
        <f>IF(COUNTBLANK(W38)=0,'Cost Calc'!X$8,"")</f>
        <v/>
      </c>
      <c r="X109" t="str">
        <f>IF(COUNTBLANK(X38)=0,'Cost Calc'!Z$8,"")</f>
        <v/>
      </c>
      <c r="Y109" t="str">
        <f>IF(OR(Y38="A",Y38="X",Y38="a",Y38="x"),'Cost Calc'!AB$8,"")</f>
        <v/>
      </c>
      <c r="Z109" t="str">
        <f>IF(OR(Y38="B",Y38="b"),'Cost Calc'!AC$8,"")</f>
        <v/>
      </c>
      <c r="AA109" s="271">
        <f>IF(COUNTBLANK(C109:D109)&lt;2,IF(L109="N",'Cost Calc'!K$37,'Cost Calc'!K$38),0)</f>
        <v>0</v>
      </c>
      <c r="AB109">
        <f t="shared" si="83"/>
        <v>0</v>
      </c>
      <c r="AD109" s="27"/>
      <c r="AM109" s="1"/>
      <c r="AN109" s="1"/>
      <c r="AO109" s="1"/>
      <c r="AP109" s="1"/>
      <c r="BC109" s="1"/>
      <c r="BD109" s="1"/>
    </row>
    <row r="110" spans="1:56" ht="13.5" hidden="1" x14ac:dyDescent="0.25">
      <c r="A110" s="257"/>
      <c r="C110" t="str">
        <f t="shared" ref="C110:D110" si="128">C80</f>
        <v/>
      </c>
      <c r="D110" t="str">
        <f t="shared" si="128"/>
        <v/>
      </c>
      <c r="E110" s="428" t="str">
        <f t="shared" si="85"/>
        <v/>
      </c>
      <c r="F110" s="428" t="str">
        <f t="shared" ref="F110:L110" si="129">IF(COUNTBLANK(F39)=0,F39,"")</f>
        <v/>
      </c>
      <c r="G110" s="432" t="str">
        <f t="shared" si="129"/>
        <v/>
      </c>
      <c r="H110" s="428" t="str">
        <f t="shared" si="129"/>
        <v/>
      </c>
      <c r="I110" s="428" t="str">
        <f t="shared" si="129"/>
        <v/>
      </c>
      <c r="J110" s="428" t="str">
        <f t="shared" si="129"/>
        <v/>
      </c>
      <c r="K110" s="428" t="str">
        <f t="shared" si="129"/>
        <v/>
      </c>
      <c r="L110" s="428" t="str">
        <f t="shared" si="129"/>
        <v/>
      </c>
      <c r="M110" t="str">
        <f>IF(COUNTBLANK(M39)=0,'Cost Calc'!O$8,"")</f>
        <v/>
      </c>
      <c r="N110" t="str">
        <f>IF(COUNTBLANK(N39)=0,'Cost Calc'!P$8,"")</f>
        <v/>
      </c>
      <c r="O110" t="str">
        <f>IF(COUNTBLANK(O39)=0,'Cost Calc'!Q$8,"")</f>
        <v/>
      </c>
      <c r="P110" t="str">
        <f>IF(COUNTBLANK(P39)=0,'Cost Calc'!R$8,"")</f>
        <v/>
      </c>
      <c r="Q110" t="str">
        <f>IF(COUNTBLANK(Q39)=0,'Cost Calc'!S$8,"")</f>
        <v/>
      </c>
      <c r="R110" t="str">
        <f>IF(COUNTBLANK(R39)=0,'Cost Calc'!T$8,"")</f>
        <v/>
      </c>
      <c r="S110" t="str">
        <f>IF(COUNTBLANK(S39)=0,'Cost Calc'!U$8,"")</f>
        <v/>
      </c>
      <c r="T110" t="str">
        <f>IF(COUNTBLANK(T39)=0,'Cost Calc'!U$8,"")</f>
        <v/>
      </c>
      <c r="U110" t="str">
        <f t="shared" si="87"/>
        <v/>
      </c>
      <c r="V110" t="str">
        <f>IF(COUNTBLANK(V39)=0,'Cost Calc'!X$8,"")</f>
        <v/>
      </c>
      <c r="W110" t="str">
        <f>IF(COUNTBLANK(W39)=0,'Cost Calc'!X$8,"")</f>
        <v/>
      </c>
      <c r="X110" t="str">
        <f>IF(COUNTBLANK(X39)=0,'Cost Calc'!Z$8,"")</f>
        <v/>
      </c>
      <c r="Y110" t="str">
        <f>IF(OR(Y39="A",Y39="X",Y39="a",Y39="x"),'Cost Calc'!AB$8,"")</f>
        <v/>
      </c>
      <c r="Z110" t="str">
        <f>IF(OR(Y39="B",Y39="b"),'Cost Calc'!AC$8,"")</f>
        <v/>
      </c>
      <c r="AA110" s="271">
        <f>IF(COUNTBLANK(C110:D110)&lt;2,IF(L110="N",'Cost Calc'!K$37,'Cost Calc'!K$38),0)</f>
        <v>0</v>
      </c>
      <c r="AB110">
        <f t="shared" si="83"/>
        <v>0</v>
      </c>
      <c r="AD110" s="27"/>
      <c r="AM110" s="1"/>
      <c r="AN110" s="1"/>
      <c r="AO110" s="1"/>
      <c r="AP110" s="1"/>
      <c r="BC110" s="1"/>
      <c r="BD110" s="1"/>
    </row>
    <row r="111" spans="1:56" ht="13.5" hidden="1" x14ac:dyDescent="0.25">
      <c r="A111" s="257"/>
      <c r="C111" t="str">
        <f t="shared" ref="C111:D111" si="130">C81</f>
        <v/>
      </c>
      <c r="D111" t="str">
        <f t="shared" si="130"/>
        <v/>
      </c>
      <c r="E111" s="428" t="str">
        <f t="shared" si="85"/>
        <v/>
      </c>
      <c r="F111" s="428" t="str">
        <f t="shared" ref="F111:L111" si="131">IF(COUNTBLANK(F40)=0,F40,"")</f>
        <v/>
      </c>
      <c r="G111" s="432" t="str">
        <f t="shared" si="131"/>
        <v/>
      </c>
      <c r="H111" s="428" t="str">
        <f t="shared" si="131"/>
        <v/>
      </c>
      <c r="I111" s="428" t="str">
        <f t="shared" si="131"/>
        <v/>
      </c>
      <c r="J111" s="428" t="str">
        <f t="shared" si="131"/>
        <v/>
      </c>
      <c r="K111" s="428" t="str">
        <f t="shared" si="131"/>
        <v/>
      </c>
      <c r="L111" s="428" t="str">
        <f t="shared" si="131"/>
        <v/>
      </c>
      <c r="M111" t="str">
        <f>IF(COUNTBLANK(M40)=0,'Cost Calc'!O$8,"")</f>
        <v/>
      </c>
      <c r="N111" t="str">
        <f>IF(COUNTBLANK(N40)=0,'Cost Calc'!P$8,"")</f>
        <v/>
      </c>
      <c r="O111" t="str">
        <f>IF(COUNTBLANK(O40)=0,'Cost Calc'!Q$8,"")</f>
        <v/>
      </c>
      <c r="P111" t="str">
        <f>IF(COUNTBLANK(P40)=0,'Cost Calc'!R$8,"")</f>
        <v/>
      </c>
      <c r="Q111" t="str">
        <f>IF(COUNTBLANK(Q40)=0,'Cost Calc'!S$8,"")</f>
        <v/>
      </c>
      <c r="R111" t="str">
        <f>IF(COUNTBLANK(R40)=0,'Cost Calc'!T$8,"")</f>
        <v/>
      </c>
      <c r="S111" t="str">
        <f>IF(COUNTBLANK(S40)=0,'Cost Calc'!U$8,"")</f>
        <v/>
      </c>
      <c r="T111" t="str">
        <f>IF(COUNTBLANK(T40)=0,'Cost Calc'!U$8,"")</f>
        <v/>
      </c>
      <c r="U111" t="str">
        <f t="shared" si="87"/>
        <v/>
      </c>
      <c r="V111" t="str">
        <f>IF(COUNTBLANK(V40)=0,'Cost Calc'!X$8,"")</f>
        <v/>
      </c>
      <c r="W111" t="str">
        <f>IF(COUNTBLANK(W40)=0,'Cost Calc'!X$8,"")</f>
        <v/>
      </c>
      <c r="X111" t="str">
        <f>IF(COUNTBLANK(X40)=0,'Cost Calc'!Z$8,"")</f>
        <v/>
      </c>
      <c r="Y111" t="str">
        <f>IF(OR(Y40="A",Y40="X",Y40="a",Y40="x"),'Cost Calc'!AB$8,"")</f>
        <v/>
      </c>
      <c r="Z111" t="str">
        <f>IF(OR(Y40="B",Y40="b"),'Cost Calc'!AC$8,"")</f>
        <v/>
      </c>
      <c r="AA111" s="271">
        <f>IF(COUNTBLANK(C111:D111)&lt;2,IF(L111="N",'Cost Calc'!K$37,'Cost Calc'!K$38),0)</f>
        <v>0</v>
      </c>
      <c r="AB111">
        <f t="shared" si="83"/>
        <v>0</v>
      </c>
      <c r="AD111" s="27"/>
      <c r="AM111" s="1"/>
      <c r="AN111" s="1"/>
      <c r="AO111" s="1"/>
      <c r="AP111" s="1"/>
      <c r="BC111" s="1"/>
      <c r="BD111" s="1"/>
    </row>
    <row r="112" spans="1:56" ht="13.5" hidden="1" x14ac:dyDescent="0.25">
      <c r="A112" s="257"/>
      <c r="C112" t="str">
        <f t="shared" ref="C112:D112" si="132">C82</f>
        <v/>
      </c>
      <c r="D112" t="str">
        <f t="shared" si="132"/>
        <v/>
      </c>
      <c r="E112" s="428" t="str">
        <f t="shared" si="85"/>
        <v/>
      </c>
      <c r="F112" s="428" t="str">
        <f t="shared" ref="F112:L112" si="133">IF(COUNTBLANK(F41)=0,F41,"")</f>
        <v/>
      </c>
      <c r="G112" s="432" t="str">
        <f t="shared" si="133"/>
        <v/>
      </c>
      <c r="H112" s="428" t="str">
        <f t="shared" si="133"/>
        <v/>
      </c>
      <c r="I112" s="428" t="str">
        <f t="shared" si="133"/>
        <v/>
      </c>
      <c r="J112" s="428" t="str">
        <f t="shared" si="133"/>
        <v/>
      </c>
      <c r="K112" s="428" t="str">
        <f t="shared" si="133"/>
        <v/>
      </c>
      <c r="L112" s="428" t="str">
        <f t="shared" si="133"/>
        <v/>
      </c>
      <c r="M112" t="str">
        <f>IF(COUNTBLANK(M41)=0,'Cost Calc'!O$8,"")</f>
        <v/>
      </c>
      <c r="N112" t="str">
        <f>IF(COUNTBLANK(N41)=0,'Cost Calc'!P$8,"")</f>
        <v/>
      </c>
      <c r="O112" t="str">
        <f>IF(COUNTBLANK(O41)=0,'Cost Calc'!Q$8,"")</f>
        <v/>
      </c>
      <c r="P112" t="str">
        <f>IF(COUNTBLANK(P41)=0,'Cost Calc'!R$8,"")</f>
        <v/>
      </c>
      <c r="Q112" t="str">
        <f>IF(COUNTBLANK(Q41)=0,'Cost Calc'!S$8,"")</f>
        <v/>
      </c>
      <c r="R112" t="str">
        <f>IF(COUNTBLANK(R41)=0,'Cost Calc'!T$8,"")</f>
        <v/>
      </c>
      <c r="S112" t="str">
        <f>IF(COUNTBLANK(S41)=0,'Cost Calc'!U$8,"")</f>
        <v/>
      </c>
      <c r="T112" t="str">
        <f>IF(COUNTBLANK(T41)=0,'Cost Calc'!U$8,"")</f>
        <v/>
      </c>
      <c r="U112" t="str">
        <f t="shared" si="87"/>
        <v/>
      </c>
      <c r="V112" t="str">
        <f>IF(COUNTBLANK(V41)=0,'Cost Calc'!X$8,"")</f>
        <v/>
      </c>
      <c r="W112" t="str">
        <f>IF(COUNTBLANK(W41)=0,'Cost Calc'!X$8,"")</f>
        <v/>
      </c>
      <c r="X112" t="str">
        <f>IF(COUNTBLANK(X41)=0,'Cost Calc'!Z$8,"")</f>
        <v/>
      </c>
      <c r="Y112" t="str">
        <f>IF(OR(Y41="A",Y41="X",Y41="a",Y41="x"),'Cost Calc'!AB$8,"")</f>
        <v/>
      </c>
      <c r="Z112" t="str">
        <f>IF(OR(Y41="B",Y41="b"),'Cost Calc'!AC$8,"")</f>
        <v/>
      </c>
      <c r="AA112" s="271">
        <f>IF(COUNTBLANK(C112:D112)&lt;2,IF(L112="N",'Cost Calc'!K$37,'Cost Calc'!K$38),0)</f>
        <v>0</v>
      </c>
      <c r="AB112">
        <f t="shared" si="83"/>
        <v>0</v>
      </c>
      <c r="AD112" s="27"/>
      <c r="AM112" s="1"/>
      <c r="AN112" s="1"/>
      <c r="AO112" s="1"/>
      <c r="AP112" s="1"/>
      <c r="BC112" s="1"/>
      <c r="BD112" s="1"/>
    </row>
    <row r="113" spans="1:59" ht="13.5" hidden="1" x14ac:dyDescent="0.25">
      <c r="A113" s="257"/>
      <c r="C113" t="str">
        <f t="shared" ref="C113" si="134">C83</f>
        <v/>
      </c>
      <c r="D113" t="str">
        <f t="shared" ref="D113" si="135">D83</f>
        <v/>
      </c>
      <c r="E113" s="428" t="str">
        <f t="shared" si="85"/>
        <v/>
      </c>
      <c r="F113" s="428" t="str">
        <f t="shared" ref="F113:L113" si="136">IF(COUNTBLANK(F42)=0,F42,"")</f>
        <v/>
      </c>
      <c r="G113" s="432" t="str">
        <f t="shared" si="136"/>
        <v/>
      </c>
      <c r="H113" s="428" t="str">
        <f t="shared" si="136"/>
        <v/>
      </c>
      <c r="I113" s="428" t="str">
        <f t="shared" si="136"/>
        <v/>
      </c>
      <c r="J113" s="428" t="str">
        <f t="shared" si="136"/>
        <v/>
      </c>
      <c r="K113" s="428" t="str">
        <f t="shared" si="136"/>
        <v/>
      </c>
      <c r="L113" s="428" t="str">
        <f t="shared" si="136"/>
        <v/>
      </c>
      <c r="M113" t="str">
        <f>IF(COUNTBLANK(M42)=0,'Cost Calc'!O$8,"")</f>
        <v/>
      </c>
      <c r="N113" t="str">
        <f>IF(COUNTBLANK(N42)=0,'Cost Calc'!P$8,"")</f>
        <v/>
      </c>
      <c r="O113" t="str">
        <f>IF(COUNTBLANK(O42)=0,'Cost Calc'!Q$8,"")</f>
        <v/>
      </c>
      <c r="P113" t="str">
        <f>IF(COUNTBLANK(P42)=0,'Cost Calc'!R$8,"")</f>
        <v/>
      </c>
      <c r="Q113" t="str">
        <f>IF(COUNTBLANK(Q42)=0,'Cost Calc'!S$8,"")</f>
        <v/>
      </c>
      <c r="R113" t="str">
        <f>IF(COUNTBLANK(R42)=0,'Cost Calc'!T$8,"")</f>
        <v/>
      </c>
      <c r="S113" t="str">
        <f>IF(COUNTBLANK(S42)=0,'Cost Calc'!U$8,"")</f>
        <v/>
      </c>
      <c r="T113" t="str">
        <f>IF(COUNTBLANK(T42)=0,'Cost Calc'!U$8,"")</f>
        <v/>
      </c>
      <c r="U113" t="str">
        <f t="shared" si="87"/>
        <v/>
      </c>
      <c r="V113" t="str">
        <f>IF(COUNTBLANK(V42)=0,'Cost Calc'!X$8,"")</f>
        <v/>
      </c>
      <c r="W113" t="str">
        <f>IF(COUNTBLANK(W42)=0,'Cost Calc'!X$8,"")</f>
        <v/>
      </c>
      <c r="X113" t="str">
        <f>IF(COUNTBLANK(X42)=0,'Cost Calc'!Z$8,"")</f>
        <v/>
      </c>
      <c r="Y113" t="str">
        <f>IF(OR(Y42="A",Y42="X",Y42="a",Y42="x"),'Cost Calc'!AB$8,"")</f>
        <v/>
      </c>
      <c r="Z113" t="str">
        <f>IF(OR(Y42="B",Y42="b"),'Cost Calc'!AC$8,"")</f>
        <v/>
      </c>
      <c r="AA113" s="271">
        <f>IF(COUNTBLANK(C113:D113)&lt;2,IF(L113="N",'Cost Calc'!K$37,'Cost Calc'!K$38),0)</f>
        <v>0</v>
      </c>
      <c r="AB113">
        <f t="shared" si="83"/>
        <v>0</v>
      </c>
      <c r="AD113" s="27"/>
      <c r="AM113" s="1"/>
      <c r="AN113" s="1"/>
      <c r="AO113" s="1"/>
      <c r="AP113" s="1"/>
      <c r="BC113" s="1"/>
      <c r="BD113" s="1"/>
    </row>
    <row r="114" spans="1:59" ht="13.5" hidden="1" x14ac:dyDescent="0.25">
      <c r="A114" s="257"/>
      <c r="C114" t="str">
        <f t="shared" ref="C114" si="137">C84</f>
        <v/>
      </c>
      <c r="D114" t="str">
        <f t="shared" ref="D114" si="138">D84</f>
        <v/>
      </c>
      <c r="E114" s="428" t="str">
        <f t="shared" si="85"/>
        <v/>
      </c>
      <c r="F114" s="428" t="str">
        <f t="shared" ref="F114:L114" si="139">IF(COUNTBLANK(F43)=0,F43,"")</f>
        <v/>
      </c>
      <c r="G114" s="432" t="str">
        <f t="shared" si="139"/>
        <v/>
      </c>
      <c r="H114" s="428" t="str">
        <f t="shared" si="139"/>
        <v/>
      </c>
      <c r="I114" s="428" t="str">
        <f t="shared" si="139"/>
        <v/>
      </c>
      <c r="J114" s="428" t="str">
        <f t="shared" si="139"/>
        <v/>
      </c>
      <c r="K114" s="428" t="str">
        <f t="shared" si="139"/>
        <v/>
      </c>
      <c r="L114" s="428" t="str">
        <f t="shared" si="139"/>
        <v/>
      </c>
      <c r="M114" t="str">
        <f>IF(COUNTBLANK(M43)=0,'Cost Calc'!O$8,"")</f>
        <v/>
      </c>
      <c r="N114" t="str">
        <f>IF(COUNTBLANK(N43)=0,'Cost Calc'!P$8,"")</f>
        <v/>
      </c>
      <c r="O114" t="str">
        <f>IF(COUNTBLANK(O43)=0,'Cost Calc'!Q$8,"")</f>
        <v/>
      </c>
      <c r="P114" t="str">
        <f>IF(COUNTBLANK(P43)=0,'Cost Calc'!R$8,"")</f>
        <v/>
      </c>
      <c r="Q114" t="str">
        <f>IF(COUNTBLANK(Q43)=0,'Cost Calc'!S$8,"")</f>
        <v/>
      </c>
      <c r="R114" t="str">
        <f>IF(COUNTBLANK(R43)=0,'Cost Calc'!T$8,"")</f>
        <v/>
      </c>
      <c r="S114" t="str">
        <f>IF(COUNTBLANK(S43)=0,'Cost Calc'!U$8,"")</f>
        <v/>
      </c>
      <c r="T114" t="str">
        <f>IF(COUNTBLANK(T43)=0,'Cost Calc'!U$8,"")</f>
        <v/>
      </c>
      <c r="U114" t="str">
        <f t="shared" si="87"/>
        <v/>
      </c>
      <c r="V114" t="str">
        <f>IF(COUNTBLANK(V43)=0,'Cost Calc'!X$8,"")</f>
        <v/>
      </c>
      <c r="W114" t="str">
        <f>IF(COUNTBLANK(W43)=0,'Cost Calc'!X$8,"")</f>
        <v/>
      </c>
      <c r="X114" t="str">
        <f>IF(COUNTBLANK(X43)=0,'Cost Calc'!Z$8,"")</f>
        <v/>
      </c>
      <c r="Y114" t="str">
        <f>IF(OR(Y43="A",Y43="X",Y43="a",Y43="x"),'Cost Calc'!AB$8,"")</f>
        <v/>
      </c>
      <c r="Z114" t="str">
        <f>IF(OR(Y43="B",Y43="b"),'Cost Calc'!AC$8,"")</f>
        <v/>
      </c>
      <c r="AA114" s="271">
        <f>IF(COUNTBLANK(C114:D114)&lt;2,IF(L114="N",'Cost Calc'!K$37,'Cost Calc'!K$38),0)</f>
        <v>0</v>
      </c>
      <c r="AB114">
        <f t="shared" si="83"/>
        <v>0</v>
      </c>
      <c r="AD114" s="27"/>
      <c r="AM114" s="1"/>
      <c r="AN114" s="1"/>
      <c r="AO114" s="1"/>
      <c r="AP114" s="1"/>
      <c r="BC114" s="1"/>
      <c r="BD114" s="1"/>
    </row>
    <row r="115" spans="1:59" hidden="1" x14ac:dyDescent="0.2">
      <c r="A115" s="257"/>
      <c r="AF115" s="27"/>
      <c r="AO115" s="1"/>
      <c r="AP115" s="1"/>
      <c r="AQ115" s="1"/>
      <c r="AR115" s="1"/>
      <c r="BE115" s="1"/>
      <c r="BF115" s="1"/>
    </row>
    <row r="116" spans="1:59" hidden="1" x14ac:dyDescent="0.2">
      <c r="A116" s="257"/>
      <c r="AF116" s="27"/>
      <c r="AO116" s="1"/>
      <c r="AP116" s="1"/>
      <c r="AQ116" s="1"/>
      <c r="AR116" s="1"/>
      <c r="BE116" s="1"/>
      <c r="BF116" s="1"/>
    </row>
    <row r="117" spans="1:59" hidden="1" x14ac:dyDescent="0.2">
      <c r="A117" s="257"/>
      <c r="AE117" s="27"/>
      <c r="AO117" s="1"/>
      <c r="AP117" s="1"/>
      <c r="AQ117" s="1"/>
      <c r="AR117" s="1"/>
      <c r="BE117" s="1"/>
      <c r="BF117" s="1"/>
    </row>
    <row r="118" spans="1:59" hidden="1" x14ac:dyDescent="0.2">
      <c r="A118" s="257"/>
      <c r="AE118" s="27"/>
      <c r="AO118" s="1"/>
      <c r="AP118" s="1"/>
      <c r="AQ118" s="1"/>
      <c r="AR118" s="1"/>
      <c r="BE118" s="1"/>
      <c r="BF118" s="1"/>
    </row>
    <row r="119" spans="1:59" hidden="1" x14ac:dyDescent="0.2">
      <c r="A119" s="257"/>
      <c r="AF119" s="27"/>
      <c r="AP119" s="1"/>
      <c r="AQ119" s="1"/>
      <c r="AR119" s="1"/>
      <c r="AS119" s="1"/>
      <c r="BF119" s="1"/>
      <c r="BG119" s="1"/>
    </row>
    <row r="120" spans="1:59" hidden="1" x14ac:dyDescent="0.2">
      <c r="A120" s="257"/>
      <c r="AE120" s="27"/>
      <c r="AP120" s="1"/>
      <c r="AQ120" s="1"/>
      <c r="AR120" s="1"/>
      <c r="AS120" s="1"/>
      <c r="BF120" s="1"/>
      <c r="BG120" s="1"/>
    </row>
    <row r="121" spans="1:59" hidden="1" x14ac:dyDescent="0.2">
      <c r="A121" s="257"/>
      <c r="AE121" s="27"/>
      <c r="AP121" s="1"/>
      <c r="AQ121" s="1"/>
      <c r="AR121" s="1"/>
      <c r="AS121" s="1"/>
      <c r="BF121" s="1"/>
      <c r="BG121" s="1"/>
    </row>
    <row r="122" spans="1:59" ht="13.5" hidden="1" thickBot="1" x14ac:dyDescent="0.25">
      <c r="A122" s="257"/>
      <c r="AE122" s="27"/>
      <c r="AP122" s="1"/>
      <c r="AQ122" s="1"/>
      <c r="AR122" s="1"/>
      <c r="AS122" s="1"/>
      <c r="BF122" s="1"/>
      <c r="BG122" s="1"/>
    </row>
    <row r="123" spans="1:59" hidden="1" x14ac:dyDescent="0.2">
      <c r="A123" s="262"/>
      <c r="B123" s="413"/>
      <c r="C123" s="35"/>
      <c r="D123" s="35"/>
      <c r="E123" s="35"/>
      <c r="F123" s="35"/>
      <c r="G123" s="35"/>
      <c r="H123" s="35"/>
      <c r="I123" s="35"/>
      <c r="J123" s="35"/>
      <c r="K123" s="35"/>
      <c r="L123" s="35"/>
      <c r="M123" s="35"/>
      <c r="N123" s="35"/>
      <c r="O123" s="35"/>
      <c r="P123" s="35"/>
      <c r="Q123" s="35"/>
      <c r="R123" s="35"/>
      <c r="S123" s="35"/>
      <c r="T123" s="35"/>
      <c r="U123" s="35"/>
      <c r="V123" s="35"/>
      <c r="W123" s="35"/>
      <c r="X123" s="36"/>
      <c r="AE123" s="27"/>
      <c r="AP123" s="1"/>
      <c r="AQ123" s="1"/>
      <c r="AR123" s="1"/>
      <c r="AS123" s="1"/>
      <c r="BF123" s="1"/>
      <c r="BG123" s="1"/>
    </row>
    <row r="124" spans="1:59" hidden="1" x14ac:dyDescent="0.2">
      <c r="A124" s="263" t="s">
        <v>401</v>
      </c>
      <c r="B124" s="414"/>
      <c r="C124" s="9"/>
      <c r="D124" s="9"/>
      <c r="E124" s="9"/>
      <c r="F124" s="9"/>
      <c r="G124" s="9"/>
      <c r="H124" s="9"/>
      <c r="I124" s="9"/>
      <c r="J124" s="9"/>
      <c r="K124" s="9"/>
      <c r="L124" s="9"/>
      <c r="M124" s="9"/>
      <c r="N124" s="9"/>
      <c r="O124" s="9"/>
      <c r="P124" s="9"/>
      <c r="Q124" s="9"/>
      <c r="R124" s="9"/>
      <c r="S124" s="9"/>
      <c r="T124" s="9"/>
      <c r="U124" s="9"/>
      <c r="V124" s="9"/>
      <c r="W124" s="9"/>
      <c r="X124" s="37"/>
      <c r="AE124" s="27"/>
      <c r="AP124" s="1"/>
      <c r="AQ124" s="1"/>
      <c r="AR124" s="1"/>
      <c r="AS124" s="1"/>
      <c r="BF124" s="1"/>
      <c r="BG124" s="1"/>
    </row>
    <row r="125" spans="1:59" hidden="1" x14ac:dyDescent="0.2">
      <c r="A125" s="264"/>
      <c r="B125" s="415"/>
      <c r="C125" s="9" t="s">
        <v>402</v>
      </c>
      <c r="D125" s="9" t="s">
        <v>403</v>
      </c>
      <c r="E125" s="9"/>
      <c r="F125" s="9"/>
      <c r="G125" s="9"/>
      <c r="H125" s="9"/>
      <c r="I125" s="9"/>
      <c r="J125" s="9"/>
      <c r="K125" s="9"/>
      <c r="L125" s="9"/>
      <c r="M125" s="9"/>
      <c r="N125" s="9"/>
      <c r="O125" s="9"/>
      <c r="P125" s="9"/>
      <c r="Q125" s="9"/>
      <c r="R125" s="9"/>
      <c r="S125" s="9"/>
      <c r="T125" s="9"/>
      <c r="U125" s="9"/>
      <c r="V125" s="9"/>
      <c r="W125" s="9"/>
      <c r="X125" s="37"/>
      <c r="AE125" s="27"/>
      <c r="AP125" s="1"/>
      <c r="AQ125" s="1"/>
      <c r="AR125" s="1"/>
      <c r="AS125" s="1"/>
      <c r="BF125" s="1"/>
      <c r="BG125" s="1"/>
    </row>
    <row r="126" spans="1:59" hidden="1" x14ac:dyDescent="0.2">
      <c r="A126" s="264"/>
      <c r="B126" s="415"/>
      <c r="C126" s="9"/>
      <c r="D126" s="142" t="s">
        <v>409</v>
      </c>
      <c r="E126" s="9"/>
      <c r="F126" s="9"/>
      <c r="G126" s="9"/>
      <c r="H126" s="9"/>
      <c r="I126" s="9"/>
      <c r="J126" s="9"/>
      <c r="K126" s="9"/>
      <c r="L126" s="9"/>
      <c r="M126" s="9"/>
      <c r="N126" s="9"/>
      <c r="O126" s="9"/>
      <c r="P126" s="9"/>
      <c r="Q126" s="9"/>
      <c r="R126" s="9"/>
      <c r="S126" s="9"/>
      <c r="T126" s="9"/>
      <c r="U126" s="9"/>
      <c r="V126" s="9"/>
      <c r="W126" s="9"/>
      <c r="X126" s="37"/>
      <c r="AE126" s="27"/>
      <c r="AP126" s="1"/>
      <c r="AQ126" s="1"/>
      <c r="AR126" s="1"/>
      <c r="AS126" s="1"/>
      <c r="BF126" s="1"/>
      <c r="BG126" s="1"/>
    </row>
    <row r="127" spans="1:59" ht="25.5" hidden="1" x14ac:dyDescent="0.25">
      <c r="A127" s="264"/>
      <c r="B127" s="415"/>
      <c r="C127" s="9"/>
      <c r="D127" s="9"/>
      <c r="E127" s="143" t="s">
        <v>324</v>
      </c>
      <c r="F127" s="143" t="s">
        <v>328</v>
      </c>
      <c r="G127" s="143" t="s">
        <v>404</v>
      </c>
      <c r="H127" s="143" t="s">
        <v>405</v>
      </c>
      <c r="I127" s="143"/>
      <c r="J127" s="143" t="s">
        <v>406</v>
      </c>
      <c r="K127" s="150" t="s">
        <v>410</v>
      </c>
      <c r="L127" s="150" t="s">
        <v>411</v>
      </c>
      <c r="M127" s="150" t="s">
        <v>413</v>
      </c>
      <c r="N127" s="143"/>
      <c r="O127" s="152" t="s">
        <v>410</v>
      </c>
      <c r="P127" s="152" t="s">
        <v>411</v>
      </c>
      <c r="Q127" s="152" t="s">
        <v>412</v>
      </c>
      <c r="R127" s="167" t="s">
        <v>423</v>
      </c>
      <c r="S127" s="168"/>
      <c r="T127" s="168"/>
      <c r="U127" s="9"/>
      <c r="V127" s="9"/>
      <c r="W127" s="9"/>
      <c r="X127" s="37"/>
      <c r="Y127" s="9"/>
      <c r="Z127" s="9"/>
      <c r="AA127" s="143"/>
      <c r="AE127" s="27"/>
      <c r="AP127" s="1"/>
      <c r="AQ127" s="1"/>
      <c r="AR127" s="1"/>
      <c r="AS127" s="1"/>
      <c r="BF127" s="1"/>
      <c r="BG127" s="1"/>
    </row>
    <row r="128" spans="1:59" ht="14.25" hidden="1" thickBot="1" x14ac:dyDescent="0.3">
      <c r="A128" s="264"/>
      <c r="B128" s="415"/>
      <c r="C128" s="9"/>
      <c r="D128" s="9"/>
      <c r="E128" s="9"/>
      <c r="F128" s="9"/>
      <c r="G128" s="143" t="s">
        <v>407</v>
      </c>
      <c r="H128" s="143"/>
      <c r="I128" s="143"/>
      <c r="J128" s="143" t="s">
        <v>408</v>
      </c>
      <c r="K128" s="147"/>
      <c r="L128" s="147"/>
      <c r="M128" s="147"/>
      <c r="N128" s="9"/>
      <c r="O128" s="153"/>
      <c r="P128" s="153"/>
      <c r="Q128" s="153"/>
      <c r="R128" s="168"/>
      <c r="S128" s="168"/>
      <c r="T128" s="168"/>
      <c r="U128" s="9"/>
      <c r="V128" s="9"/>
      <c r="W128" s="9"/>
      <c r="X128" s="37"/>
      <c r="Y128" s="9"/>
      <c r="Z128" s="9"/>
      <c r="AA128" s="9"/>
      <c r="AB128" s="9"/>
      <c r="AE128" s="27"/>
      <c r="AP128" s="1"/>
      <c r="AQ128" s="1"/>
      <c r="AR128" s="1"/>
      <c r="AS128" s="1"/>
      <c r="BF128" s="1"/>
      <c r="BG128" s="1"/>
    </row>
    <row r="129" spans="1:59" ht="13.5" hidden="1" x14ac:dyDescent="0.25">
      <c r="A129" s="264"/>
      <c r="B129" s="416"/>
      <c r="C129" s="136" t="str">
        <f t="shared" ref="C129:C155" si="140">IF(COUNTBLANK(U17)=1,"",C17)</f>
        <v/>
      </c>
      <c r="D129" s="137" t="str">
        <f t="shared" ref="D129:D155" si="141">IF(COUNTBLANK(U17)=1,"",D17)</f>
        <v/>
      </c>
      <c r="E129" s="141" t="str">
        <f t="shared" ref="E129:E155" si="142">IF(COUNTBLANK(U17)=1,"",PROPER(S17))</f>
        <v/>
      </c>
      <c r="F129" s="141" t="str">
        <f t="shared" ref="F129:F155" si="143">IF(COUNTBLANK(U17)=1,"",PROPER(U17))</f>
        <v/>
      </c>
      <c r="G129" s="141">
        <f t="shared" ref="G129:G155" si="144">IF(COUNTBLANK(U17)=0,COUNTIF(F$129:F$155,F129),0)</f>
        <v>0</v>
      </c>
      <c r="H129" s="141" t="str">
        <f t="shared" ref="H129:H155" si="145">IF(AND(COUNTBLANK(C129:D129)=0,E129="Open"),F129,"")</f>
        <v/>
      </c>
      <c r="I129" s="141"/>
      <c r="J129" s="141">
        <f t="shared" ref="J129:J155" si="146">IF(AND(COUNTBLANK(H129)=0,COUNTBLANK(U17)=0),COUNTIF(H$129:H$155,H129),0)</f>
        <v>0</v>
      </c>
      <c r="K129" s="145" t="str">
        <f>IF(G129&gt;3,CONCATENATE("Too many members in ",F129," 3-P Team; "),"")</f>
        <v/>
      </c>
      <c r="L129" s="149" t="b">
        <f>IF(G129&gt;3,TRUE,FALSE)</f>
        <v>0</v>
      </c>
      <c r="M129" s="147" t="str">
        <f t="shared" ref="M129:M155" si="147">IF(L129,K129,"")</f>
        <v/>
      </c>
      <c r="N129" s="9"/>
      <c r="O129" s="153" t="str">
        <f t="shared" ref="O129:O155" si="148">IF(J129&gt;2,CONCATENATE("More than 2 Open shooters in ",H129," 3-P Team; "),"")</f>
        <v/>
      </c>
      <c r="P129" s="154" t="b">
        <f>IF(J129&gt;2,TRUE,FALSE)</f>
        <v>0</v>
      </c>
      <c r="Q129" s="153" t="str">
        <f t="shared" ref="Q129:Q155" si="149">IF(P129,O129,"")</f>
        <v/>
      </c>
      <c r="R129" s="168" t="str">
        <f t="shared" ref="R129:R155" si="150">IF(AND(G129&gt;0,G129&lt;3),CONCATENATE(F129," has too few members; "),"")</f>
        <v/>
      </c>
      <c r="S129" s="168" t="b">
        <f>IF(AND(G129&gt;0,G129&lt;3),TRUE,FALSE)</f>
        <v>0</v>
      </c>
      <c r="T129" s="168" t="str">
        <f t="shared" ref="T129:T155" si="151">IF(S129,R129,"")</f>
        <v/>
      </c>
      <c r="U129" s="9"/>
      <c r="V129" s="9"/>
      <c r="W129" s="9"/>
      <c r="X129" s="37"/>
      <c r="Y129" s="9"/>
      <c r="Z129" s="9"/>
      <c r="AA129" s="9"/>
      <c r="AE129" s="27"/>
      <c r="AP129" s="1"/>
      <c r="AQ129" s="1"/>
      <c r="AR129" s="1"/>
      <c r="AS129" s="1"/>
      <c r="BF129" s="1"/>
      <c r="BG129" s="1"/>
    </row>
    <row r="130" spans="1:59" ht="13.5" hidden="1" x14ac:dyDescent="0.25">
      <c r="A130" s="264"/>
      <c r="B130" s="416"/>
      <c r="C130" s="138" t="str">
        <f t="shared" si="140"/>
        <v/>
      </c>
      <c r="D130" s="135" t="str">
        <f t="shared" si="141"/>
        <v/>
      </c>
      <c r="E130" s="130" t="str">
        <f t="shared" si="142"/>
        <v/>
      </c>
      <c r="F130" s="130" t="str">
        <f t="shared" si="143"/>
        <v/>
      </c>
      <c r="G130" s="130">
        <f t="shared" si="144"/>
        <v>0</v>
      </c>
      <c r="H130" s="130" t="str">
        <f t="shared" si="145"/>
        <v/>
      </c>
      <c r="I130" s="130"/>
      <c r="J130" s="130">
        <f t="shared" si="146"/>
        <v>0</v>
      </c>
      <c r="K130" s="148" t="str">
        <f>IF(G130&gt;3,CONCATENATE("Too many members in ",F130," 3-P Team; "),"")</f>
        <v/>
      </c>
      <c r="L130" s="147" t="b">
        <f>IF(G130&gt;3,(ISERROR(VLOOKUP(K130,K$129:K129,1,FALSE))),FALSE)</f>
        <v>0</v>
      </c>
      <c r="M130" s="147" t="str">
        <f t="shared" si="147"/>
        <v/>
      </c>
      <c r="N130" s="9"/>
      <c r="O130" s="153" t="str">
        <f t="shared" si="148"/>
        <v/>
      </c>
      <c r="P130" s="153" t="b">
        <f>IF(J130&gt;2,(ISERROR(VLOOKUP(O130,O$129:O129,1,FALSE))),FALSE)</f>
        <v>0</v>
      </c>
      <c r="Q130" s="153" t="str">
        <f t="shared" si="149"/>
        <v/>
      </c>
      <c r="R130" s="168" t="str">
        <f t="shared" si="150"/>
        <v/>
      </c>
      <c r="S130" s="168" t="b">
        <f>IF(AND(G130&gt;0,G130&lt;3),(ISERROR(VLOOKUP(R130,R$129:R129,1,FALSE))),FALSE)</f>
        <v>0</v>
      </c>
      <c r="T130" s="168" t="str">
        <f t="shared" si="151"/>
        <v/>
      </c>
      <c r="U130" s="9"/>
      <c r="V130" s="9"/>
      <c r="W130" s="9"/>
      <c r="X130" s="37"/>
      <c r="Y130" s="9"/>
      <c r="Z130" s="9"/>
      <c r="AA130" s="9"/>
      <c r="AE130" s="27"/>
      <c r="AP130" s="1"/>
      <c r="AQ130" s="1"/>
      <c r="AR130" s="1"/>
      <c r="AS130" s="1"/>
      <c r="BF130" s="1"/>
      <c r="BG130" s="1"/>
    </row>
    <row r="131" spans="1:59" ht="13.5" hidden="1" x14ac:dyDescent="0.25">
      <c r="A131" s="264"/>
      <c r="B131" s="416"/>
      <c r="C131" s="138" t="str">
        <f t="shared" si="140"/>
        <v/>
      </c>
      <c r="D131" s="135" t="str">
        <f t="shared" si="141"/>
        <v/>
      </c>
      <c r="E131" s="130" t="str">
        <f t="shared" si="142"/>
        <v/>
      </c>
      <c r="F131" s="130" t="str">
        <f t="shared" si="143"/>
        <v/>
      </c>
      <c r="G131" s="130">
        <f t="shared" si="144"/>
        <v>0</v>
      </c>
      <c r="H131" s="130" t="str">
        <f t="shared" si="145"/>
        <v/>
      </c>
      <c r="I131" s="130"/>
      <c r="J131" s="130">
        <f t="shared" si="146"/>
        <v>0</v>
      </c>
      <c r="K131" s="148" t="str">
        <f t="shared" ref="K131:K155" si="152">IF(G131&gt;3,CONCATENATE("Too many members in ",F131," 3-P Team; "),"")</f>
        <v/>
      </c>
      <c r="L131" s="147" t="b">
        <f>IF(G131&gt;3,(ISERROR(VLOOKUP(K131,K$129:K130,1,FALSE))),FALSE)</f>
        <v>0</v>
      </c>
      <c r="M131" s="147" t="str">
        <f t="shared" si="147"/>
        <v/>
      </c>
      <c r="N131" s="9"/>
      <c r="O131" s="153" t="str">
        <f t="shared" si="148"/>
        <v/>
      </c>
      <c r="P131" s="153" t="b">
        <f>IF(J131&gt;2,(ISERROR(VLOOKUP(O131,O$129:O130,1,FALSE))),FALSE)</f>
        <v>0</v>
      </c>
      <c r="Q131" s="153" t="str">
        <f t="shared" si="149"/>
        <v/>
      </c>
      <c r="R131" s="168" t="str">
        <f t="shared" si="150"/>
        <v/>
      </c>
      <c r="S131" s="168" t="b">
        <f>IF(AND(G131&gt;0,G131&lt;3),(ISERROR(VLOOKUP(R131,R$129:R130,1,FALSE))),FALSE)</f>
        <v>0</v>
      </c>
      <c r="T131" s="168" t="str">
        <f t="shared" si="151"/>
        <v/>
      </c>
      <c r="U131" s="9"/>
      <c r="V131" s="9"/>
      <c r="W131" s="9"/>
      <c r="X131" s="37"/>
      <c r="Y131" s="9"/>
      <c r="Z131" s="9"/>
      <c r="AA131" s="9"/>
      <c r="AE131" s="27"/>
      <c r="AP131" s="1"/>
      <c r="AQ131" s="1"/>
      <c r="AR131" s="1"/>
      <c r="AS131" s="1"/>
      <c r="BF131" s="1"/>
      <c r="BG131" s="1"/>
    </row>
    <row r="132" spans="1:59" ht="13.5" hidden="1" x14ac:dyDescent="0.25">
      <c r="A132" s="264"/>
      <c r="B132" s="416"/>
      <c r="C132" s="138" t="str">
        <f t="shared" si="140"/>
        <v/>
      </c>
      <c r="D132" s="135" t="str">
        <f t="shared" si="141"/>
        <v/>
      </c>
      <c r="E132" s="130" t="str">
        <f t="shared" si="142"/>
        <v/>
      </c>
      <c r="F132" s="130" t="str">
        <f t="shared" si="143"/>
        <v/>
      </c>
      <c r="G132" s="130">
        <f t="shared" si="144"/>
        <v>0</v>
      </c>
      <c r="H132" s="130" t="str">
        <f t="shared" si="145"/>
        <v/>
      </c>
      <c r="I132" s="130"/>
      <c r="J132" s="130">
        <f t="shared" si="146"/>
        <v>0</v>
      </c>
      <c r="K132" s="148" t="str">
        <f>IF(G132&gt;3,CONCATENATE("Too many members in ",F132," 3-P Team; "),"")</f>
        <v/>
      </c>
      <c r="L132" s="147" t="b">
        <f>IF(G132&gt;3,(ISERROR(VLOOKUP(K132,K$129:K131,1,FALSE))),FALSE)</f>
        <v>0</v>
      </c>
      <c r="M132" s="147" t="str">
        <f t="shared" si="147"/>
        <v/>
      </c>
      <c r="N132" s="9"/>
      <c r="O132" s="153" t="str">
        <f t="shared" si="148"/>
        <v/>
      </c>
      <c r="P132" s="153" t="b">
        <f>IF(J132&gt;2,(ISERROR(VLOOKUP(O132,O$129:O131,1,FALSE))),FALSE)</f>
        <v>0</v>
      </c>
      <c r="Q132" s="153" t="str">
        <f t="shared" si="149"/>
        <v/>
      </c>
      <c r="R132" s="168" t="str">
        <f t="shared" si="150"/>
        <v/>
      </c>
      <c r="S132" s="168" t="b">
        <f>IF(AND(G132&gt;0,G132&lt;3),(ISERROR(VLOOKUP(R132,R$129:R131,1,FALSE))),FALSE)</f>
        <v>0</v>
      </c>
      <c r="T132" s="168" t="str">
        <f t="shared" si="151"/>
        <v/>
      </c>
      <c r="U132" s="9"/>
      <c r="V132" s="9"/>
      <c r="W132" s="9"/>
      <c r="X132" s="37"/>
      <c r="Y132" s="9"/>
      <c r="Z132" s="9"/>
      <c r="AA132" s="9"/>
      <c r="AE132" s="27"/>
      <c r="AP132" s="1"/>
      <c r="AQ132" s="1"/>
      <c r="AR132" s="1"/>
      <c r="AS132" s="1"/>
      <c r="BF132" s="1"/>
      <c r="BG132" s="1"/>
    </row>
    <row r="133" spans="1:59" ht="13.5" hidden="1" x14ac:dyDescent="0.25">
      <c r="A133" s="264"/>
      <c r="B133" s="416"/>
      <c r="C133" s="138" t="str">
        <f t="shared" si="140"/>
        <v/>
      </c>
      <c r="D133" s="135" t="str">
        <f t="shared" si="141"/>
        <v/>
      </c>
      <c r="E133" s="130" t="str">
        <f t="shared" si="142"/>
        <v/>
      </c>
      <c r="F133" s="130" t="str">
        <f t="shared" si="143"/>
        <v/>
      </c>
      <c r="G133" s="130">
        <f t="shared" si="144"/>
        <v>0</v>
      </c>
      <c r="H133" s="130" t="str">
        <f t="shared" si="145"/>
        <v/>
      </c>
      <c r="I133" s="130"/>
      <c r="J133" s="130">
        <f t="shared" si="146"/>
        <v>0</v>
      </c>
      <c r="K133" s="148" t="str">
        <f t="shared" si="152"/>
        <v/>
      </c>
      <c r="L133" s="147" t="b">
        <f>IF(G133&gt;3,(ISERROR(VLOOKUP(K133,K$129:K132,1,FALSE))),FALSE)</f>
        <v>0</v>
      </c>
      <c r="M133" s="147" t="str">
        <f t="shared" si="147"/>
        <v/>
      </c>
      <c r="N133" s="9"/>
      <c r="O133" s="153" t="str">
        <f t="shared" si="148"/>
        <v/>
      </c>
      <c r="P133" s="153" t="b">
        <f>IF(J133&gt;2,(ISERROR(VLOOKUP(O133,O$129:O132,1,FALSE))),FALSE)</f>
        <v>0</v>
      </c>
      <c r="Q133" s="153" t="str">
        <f t="shared" si="149"/>
        <v/>
      </c>
      <c r="R133" s="168" t="str">
        <f t="shared" si="150"/>
        <v/>
      </c>
      <c r="S133" s="168" t="b">
        <f>IF(AND(G133&gt;0,G133&lt;3),(ISERROR(VLOOKUP(R133,R$129:R132,1,FALSE))),FALSE)</f>
        <v>0</v>
      </c>
      <c r="T133" s="168" t="str">
        <f t="shared" si="151"/>
        <v/>
      </c>
      <c r="U133" s="9"/>
      <c r="V133" s="9"/>
      <c r="W133" s="9"/>
      <c r="X133" s="37"/>
      <c r="Y133" s="9"/>
      <c r="Z133" s="9"/>
      <c r="AA133" s="9"/>
      <c r="AE133" s="27"/>
      <c r="AP133" s="1"/>
      <c r="AQ133" s="1"/>
      <c r="AR133" s="1"/>
      <c r="AS133" s="1"/>
      <c r="BF133" s="1"/>
      <c r="BG133" s="1"/>
    </row>
    <row r="134" spans="1:59" ht="13.5" hidden="1" x14ac:dyDescent="0.25">
      <c r="A134" s="264"/>
      <c r="B134" s="416"/>
      <c r="C134" s="138" t="str">
        <f t="shared" si="140"/>
        <v/>
      </c>
      <c r="D134" s="135" t="str">
        <f t="shared" si="141"/>
        <v/>
      </c>
      <c r="E134" s="130" t="str">
        <f t="shared" si="142"/>
        <v/>
      </c>
      <c r="F134" s="130" t="str">
        <f t="shared" si="143"/>
        <v/>
      </c>
      <c r="G134" s="130">
        <f t="shared" si="144"/>
        <v>0</v>
      </c>
      <c r="H134" s="130" t="str">
        <f t="shared" si="145"/>
        <v/>
      </c>
      <c r="I134" s="130"/>
      <c r="J134" s="130">
        <f t="shared" si="146"/>
        <v>0</v>
      </c>
      <c r="K134" s="148" t="str">
        <f t="shared" si="152"/>
        <v/>
      </c>
      <c r="L134" s="147" t="b">
        <f>IF(G134&gt;3,(ISERROR(VLOOKUP(K134,K$129:K133,1,FALSE))),FALSE)</f>
        <v>0</v>
      </c>
      <c r="M134" s="147" t="str">
        <f t="shared" si="147"/>
        <v/>
      </c>
      <c r="N134" s="9"/>
      <c r="O134" s="153" t="str">
        <f t="shared" si="148"/>
        <v/>
      </c>
      <c r="P134" s="153" t="b">
        <f>IF(J134&gt;2,(ISERROR(VLOOKUP(O134,O$129:O133,1,FALSE))),FALSE)</f>
        <v>0</v>
      </c>
      <c r="Q134" s="153" t="str">
        <f t="shared" si="149"/>
        <v/>
      </c>
      <c r="R134" s="168" t="str">
        <f t="shared" si="150"/>
        <v/>
      </c>
      <c r="S134" s="168" t="b">
        <f>IF(AND(G134&gt;0,G134&lt;3),(ISERROR(VLOOKUP(R134,R$129:R133,1,FALSE))),FALSE)</f>
        <v>0</v>
      </c>
      <c r="T134" s="168" t="str">
        <f t="shared" si="151"/>
        <v/>
      </c>
      <c r="U134" s="9"/>
      <c r="V134" s="9"/>
      <c r="W134" s="9"/>
      <c r="X134" s="37"/>
      <c r="Y134" s="9"/>
      <c r="Z134" s="9"/>
      <c r="AA134" s="9"/>
      <c r="AE134" s="27"/>
      <c r="AP134" s="1"/>
      <c r="AQ134" s="1"/>
      <c r="AR134" s="1"/>
      <c r="AS134" s="1"/>
      <c r="BF134" s="1"/>
      <c r="BG134" s="1"/>
    </row>
    <row r="135" spans="1:59" ht="13.5" hidden="1" x14ac:dyDescent="0.25">
      <c r="A135" s="264"/>
      <c r="B135" s="416"/>
      <c r="C135" s="138" t="str">
        <f t="shared" si="140"/>
        <v/>
      </c>
      <c r="D135" s="135" t="str">
        <f t="shared" si="141"/>
        <v/>
      </c>
      <c r="E135" s="130" t="str">
        <f t="shared" si="142"/>
        <v/>
      </c>
      <c r="F135" s="130" t="str">
        <f t="shared" si="143"/>
        <v/>
      </c>
      <c r="G135" s="130">
        <f t="shared" si="144"/>
        <v>0</v>
      </c>
      <c r="H135" s="130" t="str">
        <f t="shared" si="145"/>
        <v/>
      </c>
      <c r="I135" s="130"/>
      <c r="J135" s="130">
        <f t="shared" si="146"/>
        <v>0</v>
      </c>
      <c r="K135" s="148" t="str">
        <f t="shared" si="152"/>
        <v/>
      </c>
      <c r="L135" s="147" t="b">
        <f>IF(G135&gt;3,(ISERROR(VLOOKUP(K135,K$129:K134,1,FALSE))),FALSE)</f>
        <v>0</v>
      </c>
      <c r="M135" s="147" t="str">
        <f t="shared" si="147"/>
        <v/>
      </c>
      <c r="N135" s="9"/>
      <c r="O135" s="153" t="str">
        <f t="shared" si="148"/>
        <v/>
      </c>
      <c r="P135" s="153" t="b">
        <f>IF(J135&gt;2,(ISERROR(VLOOKUP(O135,O$129:O134,1,FALSE))),FALSE)</f>
        <v>0</v>
      </c>
      <c r="Q135" s="153" t="str">
        <f t="shared" si="149"/>
        <v/>
      </c>
      <c r="R135" s="168" t="str">
        <f t="shared" si="150"/>
        <v/>
      </c>
      <c r="S135" s="168" t="b">
        <f>IF(AND(G135&gt;0,G135&lt;3),(ISERROR(VLOOKUP(R135,R$129:R134,1,FALSE))),FALSE)</f>
        <v>0</v>
      </c>
      <c r="T135" s="168" t="str">
        <f t="shared" si="151"/>
        <v/>
      </c>
      <c r="U135" s="9"/>
      <c r="V135" s="9"/>
      <c r="W135" s="9"/>
      <c r="X135" s="37"/>
      <c r="Y135" s="9"/>
      <c r="Z135" s="9"/>
      <c r="AA135" s="9"/>
      <c r="AE135" s="27"/>
      <c r="AP135" s="1"/>
      <c r="AQ135" s="1"/>
      <c r="AR135" s="1"/>
      <c r="AS135" s="1"/>
      <c r="BF135" s="1"/>
      <c r="BG135" s="1"/>
    </row>
    <row r="136" spans="1:59" ht="13.5" hidden="1" x14ac:dyDescent="0.25">
      <c r="A136" s="264"/>
      <c r="B136" s="416"/>
      <c r="C136" s="138" t="str">
        <f t="shared" si="140"/>
        <v/>
      </c>
      <c r="D136" s="135" t="str">
        <f t="shared" si="141"/>
        <v/>
      </c>
      <c r="E136" s="130" t="str">
        <f t="shared" si="142"/>
        <v/>
      </c>
      <c r="F136" s="130" t="str">
        <f t="shared" si="143"/>
        <v/>
      </c>
      <c r="G136" s="130">
        <f t="shared" si="144"/>
        <v>0</v>
      </c>
      <c r="H136" s="130" t="str">
        <f t="shared" si="145"/>
        <v/>
      </c>
      <c r="I136" s="130"/>
      <c r="J136" s="130">
        <f t="shared" si="146"/>
        <v>0</v>
      </c>
      <c r="K136" s="148" t="str">
        <f t="shared" si="152"/>
        <v/>
      </c>
      <c r="L136" s="147" t="b">
        <f>IF(G136&gt;3,(ISERROR(VLOOKUP(K136,K$129:K135,1,FALSE))),FALSE)</f>
        <v>0</v>
      </c>
      <c r="M136" s="147" t="str">
        <f t="shared" si="147"/>
        <v/>
      </c>
      <c r="N136" s="9"/>
      <c r="O136" s="153" t="str">
        <f t="shared" si="148"/>
        <v/>
      </c>
      <c r="P136" s="153" t="b">
        <f>IF(J136&gt;2,(ISERROR(VLOOKUP(O136,O$129:O135,1,FALSE))),FALSE)</f>
        <v>0</v>
      </c>
      <c r="Q136" s="153" t="str">
        <f t="shared" si="149"/>
        <v/>
      </c>
      <c r="R136" s="168" t="str">
        <f t="shared" si="150"/>
        <v/>
      </c>
      <c r="S136" s="168" t="b">
        <f>IF(AND(G136&gt;0,G136&lt;3),(ISERROR(VLOOKUP(R136,R$129:R135,1,FALSE))),FALSE)</f>
        <v>0</v>
      </c>
      <c r="T136" s="168" t="str">
        <f t="shared" si="151"/>
        <v/>
      </c>
      <c r="U136" s="9"/>
      <c r="V136" s="9"/>
      <c r="W136" s="9"/>
      <c r="X136" s="37"/>
      <c r="Y136" s="9"/>
      <c r="Z136" s="9"/>
      <c r="AA136" s="9"/>
      <c r="AE136" s="27"/>
      <c r="AP136" s="1"/>
      <c r="AQ136" s="1"/>
      <c r="AR136" s="1"/>
      <c r="AS136" s="1"/>
      <c r="BF136" s="1"/>
      <c r="BG136" s="1"/>
    </row>
    <row r="137" spans="1:59" ht="13.5" hidden="1" x14ac:dyDescent="0.25">
      <c r="A137" s="264"/>
      <c r="B137" s="416"/>
      <c r="C137" s="138" t="str">
        <f t="shared" si="140"/>
        <v/>
      </c>
      <c r="D137" s="135" t="str">
        <f t="shared" si="141"/>
        <v/>
      </c>
      <c r="E137" s="130" t="str">
        <f t="shared" si="142"/>
        <v/>
      </c>
      <c r="F137" s="130" t="str">
        <f t="shared" si="143"/>
        <v/>
      </c>
      <c r="G137" s="130">
        <f t="shared" si="144"/>
        <v>0</v>
      </c>
      <c r="H137" s="130" t="str">
        <f t="shared" si="145"/>
        <v/>
      </c>
      <c r="I137" s="130"/>
      <c r="J137" s="130">
        <f t="shared" si="146"/>
        <v>0</v>
      </c>
      <c r="K137" s="148" t="str">
        <f t="shared" si="152"/>
        <v/>
      </c>
      <c r="L137" s="147" t="b">
        <f>IF(G137&gt;3,(ISERROR(VLOOKUP(K137,K$129:K136,1,FALSE))),FALSE)</f>
        <v>0</v>
      </c>
      <c r="M137" s="147" t="str">
        <f t="shared" si="147"/>
        <v/>
      </c>
      <c r="N137" s="9"/>
      <c r="O137" s="153" t="str">
        <f t="shared" si="148"/>
        <v/>
      </c>
      <c r="P137" s="153" t="b">
        <f>IF(J137&gt;2,(ISERROR(VLOOKUP(O137,O$129:O136,1,FALSE))),FALSE)</f>
        <v>0</v>
      </c>
      <c r="Q137" s="153" t="str">
        <f t="shared" si="149"/>
        <v/>
      </c>
      <c r="R137" s="168" t="str">
        <f t="shared" si="150"/>
        <v/>
      </c>
      <c r="S137" s="168" t="b">
        <f>IF(AND(G137&gt;0,G137&lt;3),(ISERROR(VLOOKUP(R137,R$129:R136,1,FALSE))),FALSE)</f>
        <v>0</v>
      </c>
      <c r="T137" s="168" t="str">
        <f t="shared" si="151"/>
        <v/>
      </c>
      <c r="U137" s="9"/>
      <c r="V137" s="9"/>
      <c r="W137" s="9"/>
      <c r="X137" s="37"/>
      <c r="Y137" s="9"/>
      <c r="Z137" s="9"/>
      <c r="AA137" s="9"/>
      <c r="AE137" s="27"/>
      <c r="AP137" s="1"/>
      <c r="AQ137" s="1"/>
      <c r="AR137" s="1"/>
      <c r="AS137" s="1"/>
      <c r="BF137" s="1"/>
      <c r="BG137" s="1"/>
    </row>
    <row r="138" spans="1:59" ht="13.5" hidden="1" x14ac:dyDescent="0.25">
      <c r="A138" s="264"/>
      <c r="B138" s="416"/>
      <c r="C138" s="138" t="str">
        <f t="shared" si="140"/>
        <v/>
      </c>
      <c r="D138" s="135" t="str">
        <f t="shared" si="141"/>
        <v/>
      </c>
      <c r="E138" s="130" t="str">
        <f t="shared" si="142"/>
        <v/>
      </c>
      <c r="F138" s="130" t="str">
        <f t="shared" si="143"/>
        <v/>
      </c>
      <c r="G138" s="130">
        <f t="shared" si="144"/>
        <v>0</v>
      </c>
      <c r="H138" s="130" t="str">
        <f t="shared" si="145"/>
        <v/>
      </c>
      <c r="I138" s="130"/>
      <c r="J138" s="130">
        <f t="shared" si="146"/>
        <v>0</v>
      </c>
      <c r="K138" s="148" t="str">
        <f t="shared" si="152"/>
        <v/>
      </c>
      <c r="L138" s="147" t="b">
        <f>IF(G138&gt;3,(ISERROR(VLOOKUP(K138,K$129:K137,1,FALSE))),FALSE)</f>
        <v>0</v>
      </c>
      <c r="M138" s="147" t="str">
        <f t="shared" si="147"/>
        <v/>
      </c>
      <c r="N138" s="9"/>
      <c r="O138" s="153" t="str">
        <f t="shared" si="148"/>
        <v/>
      </c>
      <c r="P138" s="153" t="b">
        <f>IF(J138&gt;2,(ISERROR(VLOOKUP(O138,O$129:O137,1,FALSE))),FALSE)</f>
        <v>0</v>
      </c>
      <c r="Q138" s="153" t="str">
        <f t="shared" si="149"/>
        <v/>
      </c>
      <c r="R138" s="168" t="str">
        <f t="shared" si="150"/>
        <v/>
      </c>
      <c r="S138" s="168" t="b">
        <f>IF(AND(G138&gt;0,G138&lt;3),(ISERROR(VLOOKUP(R138,R$129:R137,1,FALSE))),FALSE)</f>
        <v>0</v>
      </c>
      <c r="T138" s="168" t="str">
        <f t="shared" si="151"/>
        <v/>
      </c>
      <c r="U138" s="9"/>
      <c r="V138" s="9"/>
      <c r="W138" s="9"/>
      <c r="X138" s="37"/>
      <c r="Y138" s="9"/>
      <c r="Z138" s="9"/>
      <c r="AA138" s="9"/>
      <c r="AE138" s="27"/>
      <c r="AP138" s="1"/>
      <c r="AQ138" s="1"/>
      <c r="AR138" s="1"/>
      <c r="AS138" s="1"/>
      <c r="BF138" s="1"/>
      <c r="BG138" s="1"/>
    </row>
    <row r="139" spans="1:59" ht="13.5" hidden="1" x14ac:dyDescent="0.25">
      <c r="A139" s="264"/>
      <c r="B139" s="416"/>
      <c r="C139" s="138" t="str">
        <f t="shared" si="140"/>
        <v/>
      </c>
      <c r="D139" s="135" t="str">
        <f t="shared" si="141"/>
        <v/>
      </c>
      <c r="E139" s="130" t="str">
        <f t="shared" si="142"/>
        <v/>
      </c>
      <c r="F139" s="130" t="str">
        <f t="shared" si="143"/>
        <v/>
      </c>
      <c r="G139" s="130">
        <f t="shared" si="144"/>
        <v>0</v>
      </c>
      <c r="H139" s="130" t="str">
        <f t="shared" si="145"/>
        <v/>
      </c>
      <c r="I139" s="130"/>
      <c r="J139" s="130">
        <f t="shared" si="146"/>
        <v>0</v>
      </c>
      <c r="K139" s="148" t="str">
        <f t="shared" si="152"/>
        <v/>
      </c>
      <c r="L139" s="147" t="b">
        <f>IF(G139&gt;3,(ISERROR(VLOOKUP(K139,K$129:K138,1,FALSE))),FALSE)</f>
        <v>0</v>
      </c>
      <c r="M139" s="147" t="str">
        <f t="shared" si="147"/>
        <v/>
      </c>
      <c r="N139" s="9"/>
      <c r="O139" s="153" t="str">
        <f t="shared" si="148"/>
        <v/>
      </c>
      <c r="P139" s="153" t="b">
        <f>IF(J139&gt;2,(ISERROR(VLOOKUP(O139,O$129:O138,1,FALSE))),FALSE)</f>
        <v>0</v>
      </c>
      <c r="Q139" s="153" t="str">
        <f t="shared" si="149"/>
        <v/>
      </c>
      <c r="R139" s="168" t="str">
        <f t="shared" si="150"/>
        <v/>
      </c>
      <c r="S139" s="168" t="b">
        <f>IF(AND(G139&gt;0,G139&lt;3),(ISERROR(VLOOKUP(R139,R$129:R138,1,FALSE))),FALSE)</f>
        <v>0</v>
      </c>
      <c r="T139" s="168" t="str">
        <f t="shared" si="151"/>
        <v/>
      </c>
      <c r="U139" s="9"/>
      <c r="V139" s="9"/>
      <c r="W139" s="9"/>
      <c r="X139" s="37"/>
      <c r="Y139" s="9"/>
      <c r="Z139" s="9"/>
      <c r="AA139" s="9"/>
      <c r="AE139" s="27"/>
      <c r="AP139" s="1"/>
      <c r="AQ139" s="1"/>
      <c r="AR139" s="1"/>
      <c r="AS139" s="1"/>
      <c r="BF139" s="1"/>
      <c r="BG139" s="1"/>
    </row>
    <row r="140" spans="1:59" ht="13.5" hidden="1" x14ac:dyDescent="0.25">
      <c r="A140" s="264"/>
      <c r="B140" s="416"/>
      <c r="C140" s="138" t="str">
        <f t="shared" si="140"/>
        <v/>
      </c>
      <c r="D140" s="135" t="str">
        <f t="shared" si="141"/>
        <v/>
      </c>
      <c r="E140" s="130" t="str">
        <f t="shared" si="142"/>
        <v/>
      </c>
      <c r="F140" s="130" t="str">
        <f t="shared" si="143"/>
        <v/>
      </c>
      <c r="G140" s="130">
        <f t="shared" si="144"/>
        <v>0</v>
      </c>
      <c r="H140" s="130" t="str">
        <f t="shared" si="145"/>
        <v/>
      </c>
      <c r="I140" s="130"/>
      <c r="J140" s="130">
        <f t="shared" si="146"/>
        <v>0</v>
      </c>
      <c r="K140" s="148" t="str">
        <f t="shared" si="152"/>
        <v/>
      </c>
      <c r="L140" s="147" t="b">
        <f>IF(G140&gt;3,(ISERROR(VLOOKUP(K140,K$129:K139,1,FALSE))),FALSE)</f>
        <v>0</v>
      </c>
      <c r="M140" s="147" t="str">
        <f t="shared" si="147"/>
        <v/>
      </c>
      <c r="N140" s="9"/>
      <c r="O140" s="153" t="str">
        <f t="shared" si="148"/>
        <v/>
      </c>
      <c r="P140" s="153" t="b">
        <f>IF(J140&gt;2,(ISERROR(VLOOKUP(O140,O$129:O139,1,FALSE))),FALSE)</f>
        <v>0</v>
      </c>
      <c r="Q140" s="153" t="str">
        <f t="shared" si="149"/>
        <v/>
      </c>
      <c r="R140" s="168" t="str">
        <f t="shared" si="150"/>
        <v/>
      </c>
      <c r="S140" s="168" t="b">
        <f>IF(AND(G140&gt;0,G140&lt;3),(ISERROR(VLOOKUP(R140,R$129:R139,1,FALSE))),FALSE)</f>
        <v>0</v>
      </c>
      <c r="T140" s="168" t="str">
        <f t="shared" si="151"/>
        <v/>
      </c>
      <c r="U140" s="9"/>
      <c r="V140" s="9"/>
      <c r="W140" s="9"/>
      <c r="X140" s="37"/>
      <c r="Y140" s="9"/>
      <c r="Z140" s="9"/>
      <c r="AA140" s="9"/>
      <c r="AE140" s="27"/>
      <c r="AP140" s="1"/>
      <c r="AQ140" s="1"/>
      <c r="AR140" s="1"/>
      <c r="AS140" s="1"/>
      <c r="BF140" s="1"/>
      <c r="BG140" s="1"/>
    </row>
    <row r="141" spans="1:59" ht="13.5" hidden="1" x14ac:dyDescent="0.25">
      <c r="A141" s="264"/>
      <c r="B141" s="416"/>
      <c r="C141" s="138" t="str">
        <f t="shared" si="140"/>
        <v/>
      </c>
      <c r="D141" s="135" t="str">
        <f t="shared" si="141"/>
        <v/>
      </c>
      <c r="E141" s="130" t="str">
        <f t="shared" si="142"/>
        <v/>
      </c>
      <c r="F141" s="130" t="str">
        <f t="shared" si="143"/>
        <v/>
      </c>
      <c r="G141" s="130">
        <f t="shared" si="144"/>
        <v>0</v>
      </c>
      <c r="H141" s="130" t="str">
        <f t="shared" si="145"/>
        <v/>
      </c>
      <c r="I141" s="130"/>
      <c r="J141" s="130">
        <f t="shared" si="146"/>
        <v>0</v>
      </c>
      <c r="K141" s="148" t="str">
        <f t="shared" si="152"/>
        <v/>
      </c>
      <c r="L141" s="147" t="b">
        <f>IF(G141&gt;3,(ISERROR(VLOOKUP(K141,K$129:K140,1,FALSE))),FALSE)</f>
        <v>0</v>
      </c>
      <c r="M141" s="147" t="str">
        <f t="shared" si="147"/>
        <v/>
      </c>
      <c r="N141" s="9"/>
      <c r="O141" s="153" t="str">
        <f t="shared" si="148"/>
        <v/>
      </c>
      <c r="P141" s="153" t="b">
        <f>IF(J141&gt;2,(ISERROR(VLOOKUP(O141,O$129:O140,1,FALSE))),FALSE)</f>
        <v>0</v>
      </c>
      <c r="Q141" s="153" t="str">
        <f t="shared" si="149"/>
        <v/>
      </c>
      <c r="R141" s="168" t="str">
        <f t="shared" si="150"/>
        <v/>
      </c>
      <c r="S141" s="168" t="b">
        <f>IF(AND(G141&gt;0,G141&lt;3),(ISERROR(VLOOKUP(R141,R$129:R140,1,FALSE))),FALSE)</f>
        <v>0</v>
      </c>
      <c r="T141" s="168" t="str">
        <f t="shared" si="151"/>
        <v/>
      </c>
      <c r="U141" s="9"/>
      <c r="V141" s="9"/>
      <c r="W141" s="9"/>
      <c r="X141" s="37"/>
      <c r="Y141" s="9"/>
      <c r="Z141" s="9"/>
      <c r="AA141" s="9"/>
      <c r="AE141" s="27"/>
      <c r="AP141" s="1"/>
      <c r="AQ141" s="1"/>
      <c r="AR141" s="1"/>
      <c r="AS141" s="1"/>
      <c r="BF141" s="1"/>
      <c r="BG141" s="1"/>
    </row>
    <row r="142" spans="1:59" ht="13.5" hidden="1" x14ac:dyDescent="0.25">
      <c r="A142" s="264"/>
      <c r="B142" s="416"/>
      <c r="C142" s="138" t="str">
        <f t="shared" si="140"/>
        <v/>
      </c>
      <c r="D142" s="135" t="str">
        <f t="shared" si="141"/>
        <v/>
      </c>
      <c r="E142" s="130" t="str">
        <f t="shared" si="142"/>
        <v/>
      </c>
      <c r="F142" s="130" t="str">
        <f t="shared" si="143"/>
        <v/>
      </c>
      <c r="G142" s="130">
        <f t="shared" si="144"/>
        <v>0</v>
      </c>
      <c r="H142" s="130" t="str">
        <f t="shared" si="145"/>
        <v/>
      </c>
      <c r="I142" s="130"/>
      <c r="J142" s="130">
        <f t="shared" si="146"/>
        <v>0</v>
      </c>
      <c r="K142" s="148" t="str">
        <f t="shared" si="152"/>
        <v/>
      </c>
      <c r="L142" s="147" t="b">
        <f>IF(G142&gt;3,(ISERROR(VLOOKUP(K142,K$129:K141,1,FALSE))),FALSE)</f>
        <v>0</v>
      </c>
      <c r="M142" s="147" t="str">
        <f t="shared" si="147"/>
        <v/>
      </c>
      <c r="N142" s="9"/>
      <c r="O142" s="153" t="str">
        <f t="shared" si="148"/>
        <v/>
      </c>
      <c r="P142" s="153" t="b">
        <f>IF(J142&gt;2,(ISERROR(VLOOKUP(O142,O$129:O141,1,FALSE))),FALSE)</f>
        <v>0</v>
      </c>
      <c r="Q142" s="153" t="str">
        <f t="shared" si="149"/>
        <v/>
      </c>
      <c r="R142" s="168" t="str">
        <f t="shared" si="150"/>
        <v/>
      </c>
      <c r="S142" s="168" t="b">
        <f>IF(AND(G142&gt;0,G142&lt;3),(ISERROR(VLOOKUP(R142,R$129:R141,1,FALSE))),FALSE)</f>
        <v>0</v>
      </c>
      <c r="T142" s="168" t="str">
        <f t="shared" si="151"/>
        <v/>
      </c>
      <c r="U142" s="9"/>
      <c r="V142" s="9"/>
      <c r="W142" s="9"/>
      <c r="X142" s="37"/>
      <c r="Y142" s="9"/>
      <c r="Z142" s="9"/>
      <c r="AA142" s="9"/>
      <c r="AE142" s="27"/>
      <c r="AP142" s="1"/>
      <c r="AQ142" s="1"/>
      <c r="AR142" s="1"/>
      <c r="AS142" s="1"/>
      <c r="BF142" s="1"/>
      <c r="BG142" s="1"/>
    </row>
    <row r="143" spans="1:59" ht="13.5" hidden="1" x14ac:dyDescent="0.25">
      <c r="A143" s="264"/>
      <c r="B143" s="416"/>
      <c r="C143" s="138" t="str">
        <f t="shared" si="140"/>
        <v/>
      </c>
      <c r="D143" s="135" t="str">
        <f t="shared" si="141"/>
        <v/>
      </c>
      <c r="E143" s="130" t="str">
        <f t="shared" si="142"/>
        <v/>
      </c>
      <c r="F143" s="130" t="str">
        <f t="shared" si="143"/>
        <v/>
      </c>
      <c r="G143" s="130">
        <f t="shared" si="144"/>
        <v>0</v>
      </c>
      <c r="H143" s="130" t="str">
        <f t="shared" si="145"/>
        <v/>
      </c>
      <c r="I143" s="130"/>
      <c r="J143" s="130">
        <f t="shared" si="146"/>
        <v>0</v>
      </c>
      <c r="K143" s="148" t="str">
        <f t="shared" si="152"/>
        <v/>
      </c>
      <c r="L143" s="147" t="b">
        <f>IF(G143&gt;3,(ISERROR(VLOOKUP(K143,K$129:K142,1,FALSE))),FALSE)</f>
        <v>0</v>
      </c>
      <c r="M143" s="147" t="str">
        <f t="shared" si="147"/>
        <v/>
      </c>
      <c r="N143" s="9"/>
      <c r="O143" s="153" t="str">
        <f t="shared" si="148"/>
        <v/>
      </c>
      <c r="P143" s="153" t="b">
        <f>IF(J143&gt;2,(ISERROR(VLOOKUP(O143,O$129:O142,1,FALSE))),FALSE)</f>
        <v>0</v>
      </c>
      <c r="Q143" s="153" t="str">
        <f t="shared" si="149"/>
        <v/>
      </c>
      <c r="R143" s="168" t="str">
        <f t="shared" si="150"/>
        <v/>
      </c>
      <c r="S143" s="168" t="b">
        <f>IF(AND(G143&gt;0,G143&lt;3),(ISERROR(VLOOKUP(R143,R$129:R142,1,FALSE))),FALSE)</f>
        <v>0</v>
      </c>
      <c r="T143" s="168" t="str">
        <f t="shared" si="151"/>
        <v/>
      </c>
      <c r="U143" s="9"/>
      <c r="V143" s="9"/>
      <c r="W143" s="9"/>
      <c r="X143" s="37"/>
      <c r="Y143" s="9"/>
      <c r="Z143" s="9"/>
      <c r="AA143" s="9"/>
      <c r="AE143" s="27"/>
      <c r="AP143" s="1"/>
      <c r="AQ143" s="1"/>
      <c r="AR143" s="1"/>
      <c r="AS143" s="1"/>
      <c r="BF143" s="1"/>
      <c r="BG143" s="1"/>
    </row>
    <row r="144" spans="1:59" ht="13.5" hidden="1" x14ac:dyDescent="0.25">
      <c r="A144" s="264"/>
      <c r="B144" s="416"/>
      <c r="C144" s="138" t="str">
        <f t="shared" si="140"/>
        <v/>
      </c>
      <c r="D144" s="135" t="str">
        <f t="shared" si="141"/>
        <v/>
      </c>
      <c r="E144" s="130" t="str">
        <f t="shared" si="142"/>
        <v/>
      </c>
      <c r="F144" s="130" t="str">
        <f t="shared" si="143"/>
        <v/>
      </c>
      <c r="G144" s="130">
        <f t="shared" si="144"/>
        <v>0</v>
      </c>
      <c r="H144" s="130" t="str">
        <f t="shared" si="145"/>
        <v/>
      </c>
      <c r="I144" s="130"/>
      <c r="J144" s="130">
        <f t="shared" si="146"/>
        <v>0</v>
      </c>
      <c r="K144" s="148" t="str">
        <f t="shared" si="152"/>
        <v/>
      </c>
      <c r="L144" s="147" t="b">
        <f>IF(G144&gt;3,(ISERROR(VLOOKUP(K144,K$129:K143,1,FALSE))),FALSE)</f>
        <v>0</v>
      </c>
      <c r="M144" s="147" t="str">
        <f t="shared" si="147"/>
        <v/>
      </c>
      <c r="N144" s="9"/>
      <c r="O144" s="153" t="str">
        <f t="shared" si="148"/>
        <v/>
      </c>
      <c r="P144" s="153" t="b">
        <f>IF(J144&gt;2,(ISERROR(VLOOKUP(O144,O$129:O143,1,FALSE))),FALSE)</f>
        <v>0</v>
      </c>
      <c r="Q144" s="153" t="str">
        <f t="shared" si="149"/>
        <v/>
      </c>
      <c r="R144" s="168" t="str">
        <f t="shared" si="150"/>
        <v/>
      </c>
      <c r="S144" s="168" t="b">
        <f>IF(AND(G144&gt;0,G144&lt;3),(ISERROR(VLOOKUP(R144,R$129:R143,1,FALSE))),FALSE)</f>
        <v>0</v>
      </c>
      <c r="T144" s="168" t="str">
        <f t="shared" si="151"/>
        <v/>
      </c>
      <c r="U144" s="9"/>
      <c r="V144" s="9"/>
      <c r="W144" s="9"/>
      <c r="X144" s="37"/>
      <c r="Y144" s="9"/>
      <c r="Z144" s="9"/>
      <c r="AA144" s="9"/>
      <c r="AE144" s="27"/>
      <c r="AP144" s="1"/>
      <c r="AQ144" s="1"/>
      <c r="AR144" s="1"/>
      <c r="AS144" s="1"/>
      <c r="BF144" s="1"/>
      <c r="BG144" s="1"/>
    </row>
    <row r="145" spans="1:59" ht="13.5" hidden="1" x14ac:dyDescent="0.25">
      <c r="A145" s="264"/>
      <c r="B145" s="416"/>
      <c r="C145" s="138" t="str">
        <f t="shared" si="140"/>
        <v/>
      </c>
      <c r="D145" s="135" t="str">
        <f t="shared" si="141"/>
        <v/>
      </c>
      <c r="E145" s="130" t="str">
        <f t="shared" si="142"/>
        <v/>
      </c>
      <c r="F145" s="130" t="str">
        <f t="shared" si="143"/>
        <v/>
      </c>
      <c r="G145" s="130">
        <f t="shared" si="144"/>
        <v>0</v>
      </c>
      <c r="H145" s="130" t="str">
        <f t="shared" si="145"/>
        <v/>
      </c>
      <c r="I145" s="130"/>
      <c r="J145" s="130">
        <f t="shared" si="146"/>
        <v>0</v>
      </c>
      <c r="K145" s="148" t="str">
        <f t="shared" si="152"/>
        <v/>
      </c>
      <c r="L145" s="147" t="b">
        <f>IF(G145&gt;3,(ISERROR(VLOOKUP(K145,K$129:K144,1,FALSE))),FALSE)</f>
        <v>0</v>
      </c>
      <c r="M145" s="147" t="str">
        <f t="shared" si="147"/>
        <v/>
      </c>
      <c r="N145" s="9"/>
      <c r="O145" s="153" t="str">
        <f t="shared" si="148"/>
        <v/>
      </c>
      <c r="P145" s="153" t="b">
        <f>IF(J145&gt;2,(ISERROR(VLOOKUP(O145,O$129:O144,1,FALSE))),FALSE)</f>
        <v>0</v>
      </c>
      <c r="Q145" s="153" t="str">
        <f t="shared" si="149"/>
        <v/>
      </c>
      <c r="R145" s="168" t="str">
        <f t="shared" si="150"/>
        <v/>
      </c>
      <c r="S145" s="168" t="b">
        <f>IF(AND(G145&gt;0,G145&lt;3),(ISERROR(VLOOKUP(R145,R$129:R144,1,FALSE))),FALSE)</f>
        <v>0</v>
      </c>
      <c r="T145" s="168" t="str">
        <f t="shared" si="151"/>
        <v/>
      </c>
      <c r="U145" s="9"/>
      <c r="V145" s="9"/>
      <c r="W145" s="9"/>
      <c r="X145" s="37"/>
      <c r="Y145" s="9"/>
      <c r="Z145" s="9"/>
      <c r="AA145" s="9"/>
      <c r="AE145" s="27"/>
      <c r="AP145" s="1"/>
      <c r="AQ145" s="1"/>
      <c r="AR145" s="1"/>
      <c r="AS145" s="1"/>
      <c r="BF145" s="1"/>
      <c r="BG145" s="1"/>
    </row>
    <row r="146" spans="1:59" ht="13.5" hidden="1" x14ac:dyDescent="0.25">
      <c r="A146" s="264"/>
      <c r="B146" s="416"/>
      <c r="C146" s="138" t="str">
        <f t="shared" si="140"/>
        <v/>
      </c>
      <c r="D146" s="135" t="str">
        <f t="shared" si="141"/>
        <v/>
      </c>
      <c r="E146" s="130" t="str">
        <f t="shared" si="142"/>
        <v/>
      </c>
      <c r="F146" s="130" t="str">
        <f t="shared" si="143"/>
        <v/>
      </c>
      <c r="G146" s="130">
        <f t="shared" si="144"/>
        <v>0</v>
      </c>
      <c r="H146" s="130" t="str">
        <f t="shared" si="145"/>
        <v/>
      </c>
      <c r="I146" s="130"/>
      <c r="J146" s="130">
        <f t="shared" si="146"/>
        <v>0</v>
      </c>
      <c r="K146" s="148" t="str">
        <f t="shared" si="152"/>
        <v/>
      </c>
      <c r="L146" s="147" t="b">
        <f>IF(G146&gt;3,(ISERROR(VLOOKUP(K146,K$129:K145,1,FALSE))),FALSE)</f>
        <v>0</v>
      </c>
      <c r="M146" s="147" t="str">
        <f t="shared" si="147"/>
        <v/>
      </c>
      <c r="N146" s="9"/>
      <c r="O146" s="153" t="str">
        <f t="shared" si="148"/>
        <v/>
      </c>
      <c r="P146" s="153" t="b">
        <f>IF(J146&gt;2,(ISERROR(VLOOKUP(O146,O$129:O145,1,FALSE))),FALSE)</f>
        <v>0</v>
      </c>
      <c r="Q146" s="153" t="str">
        <f t="shared" si="149"/>
        <v/>
      </c>
      <c r="R146" s="168" t="str">
        <f t="shared" si="150"/>
        <v/>
      </c>
      <c r="S146" s="168" t="b">
        <f>IF(AND(G146&gt;0,G146&lt;3),(ISERROR(VLOOKUP(R146,R$129:R145,1,FALSE))),FALSE)</f>
        <v>0</v>
      </c>
      <c r="T146" s="168" t="str">
        <f t="shared" si="151"/>
        <v/>
      </c>
      <c r="U146" s="9"/>
      <c r="V146" s="9"/>
      <c r="W146" s="9"/>
      <c r="X146" s="37"/>
      <c r="Y146" s="9"/>
      <c r="Z146" s="9"/>
      <c r="AA146" s="9"/>
      <c r="AE146" s="27"/>
      <c r="AP146" s="1"/>
      <c r="AQ146" s="1"/>
      <c r="AR146" s="1"/>
      <c r="AS146" s="1"/>
      <c r="BF146" s="1"/>
      <c r="BG146" s="1"/>
    </row>
    <row r="147" spans="1:59" ht="13.5" hidden="1" x14ac:dyDescent="0.25">
      <c r="A147" s="264"/>
      <c r="B147" s="416"/>
      <c r="C147" s="138" t="str">
        <f t="shared" si="140"/>
        <v/>
      </c>
      <c r="D147" s="135" t="str">
        <f t="shared" si="141"/>
        <v/>
      </c>
      <c r="E147" s="130" t="str">
        <f t="shared" si="142"/>
        <v/>
      </c>
      <c r="F147" s="130" t="str">
        <f t="shared" si="143"/>
        <v/>
      </c>
      <c r="G147" s="130">
        <f t="shared" si="144"/>
        <v>0</v>
      </c>
      <c r="H147" s="130" t="str">
        <f t="shared" si="145"/>
        <v/>
      </c>
      <c r="I147" s="130"/>
      <c r="J147" s="130">
        <f t="shared" si="146"/>
        <v>0</v>
      </c>
      <c r="K147" s="148" t="str">
        <f t="shared" si="152"/>
        <v/>
      </c>
      <c r="L147" s="147" t="b">
        <f>IF(G147&gt;3,(ISERROR(VLOOKUP(K147,K$129:K146,1,FALSE))),FALSE)</f>
        <v>0</v>
      </c>
      <c r="M147" s="147" t="str">
        <f t="shared" si="147"/>
        <v/>
      </c>
      <c r="N147" s="9"/>
      <c r="O147" s="153" t="str">
        <f t="shared" si="148"/>
        <v/>
      </c>
      <c r="P147" s="153" t="b">
        <f>IF(J147&gt;2,(ISERROR(VLOOKUP(O147,O$129:O146,1,FALSE))),FALSE)</f>
        <v>0</v>
      </c>
      <c r="Q147" s="153" t="str">
        <f t="shared" si="149"/>
        <v/>
      </c>
      <c r="R147" s="168" t="str">
        <f t="shared" si="150"/>
        <v/>
      </c>
      <c r="S147" s="168" t="b">
        <f>IF(AND(G147&gt;0,G147&lt;3),(ISERROR(VLOOKUP(R147,R$129:R146,1,FALSE))),FALSE)</f>
        <v>0</v>
      </c>
      <c r="T147" s="168" t="str">
        <f t="shared" si="151"/>
        <v/>
      </c>
      <c r="U147" s="9"/>
      <c r="V147" s="9"/>
      <c r="W147" s="9"/>
      <c r="X147" s="37"/>
      <c r="Y147" s="9"/>
      <c r="Z147" s="9"/>
      <c r="AA147" s="9"/>
      <c r="AE147" s="27"/>
      <c r="AP147" s="1"/>
      <c r="AQ147" s="1"/>
      <c r="AR147" s="1"/>
      <c r="AS147" s="1"/>
      <c r="BF147" s="1"/>
      <c r="BG147" s="1"/>
    </row>
    <row r="148" spans="1:59" ht="13.5" hidden="1" x14ac:dyDescent="0.25">
      <c r="A148" s="264"/>
      <c r="B148" s="416"/>
      <c r="C148" s="138" t="str">
        <f t="shared" si="140"/>
        <v/>
      </c>
      <c r="D148" s="135" t="str">
        <f t="shared" si="141"/>
        <v/>
      </c>
      <c r="E148" s="130" t="str">
        <f t="shared" si="142"/>
        <v/>
      </c>
      <c r="F148" s="130" t="str">
        <f t="shared" si="143"/>
        <v/>
      </c>
      <c r="G148" s="130">
        <f t="shared" si="144"/>
        <v>0</v>
      </c>
      <c r="H148" s="130" t="str">
        <f t="shared" si="145"/>
        <v/>
      </c>
      <c r="I148" s="130"/>
      <c r="J148" s="130">
        <f t="shared" si="146"/>
        <v>0</v>
      </c>
      <c r="K148" s="148" t="str">
        <f t="shared" si="152"/>
        <v/>
      </c>
      <c r="L148" s="147" t="b">
        <f>IF(G148&gt;3,(ISERROR(VLOOKUP(K148,K$129:K147,1,FALSE))),FALSE)</f>
        <v>0</v>
      </c>
      <c r="M148" s="147" t="str">
        <f t="shared" si="147"/>
        <v/>
      </c>
      <c r="N148" s="9"/>
      <c r="O148" s="153" t="str">
        <f t="shared" si="148"/>
        <v/>
      </c>
      <c r="P148" s="153" t="b">
        <f>IF(J148&gt;2,(ISERROR(VLOOKUP(O148,O$129:O147,1,FALSE))),FALSE)</f>
        <v>0</v>
      </c>
      <c r="Q148" s="153" t="str">
        <f t="shared" si="149"/>
        <v/>
      </c>
      <c r="R148" s="168" t="str">
        <f t="shared" si="150"/>
        <v/>
      </c>
      <c r="S148" s="168" t="b">
        <f>IF(AND(G148&gt;0,G148&lt;3),(ISERROR(VLOOKUP(R148,R$129:R147,1,FALSE))),FALSE)</f>
        <v>0</v>
      </c>
      <c r="T148" s="168" t="str">
        <f t="shared" si="151"/>
        <v/>
      </c>
      <c r="U148" s="9"/>
      <c r="V148" s="9"/>
      <c r="W148" s="9"/>
      <c r="X148" s="37"/>
      <c r="Y148" s="9"/>
      <c r="Z148" s="9"/>
      <c r="AA148" s="9"/>
      <c r="AE148" s="27"/>
      <c r="AP148" s="1"/>
      <c r="AQ148" s="1"/>
      <c r="AR148" s="1"/>
      <c r="AS148" s="1"/>
      <c r="BF148" s="1"/>
      <c r="BG148" s="1"/>
    </row>
    <row r="149" spans="1:59" ht="13.5" hidden="1" x14ac:dyDescent="0.25">
      <c r="A149" s="264"/>
      <c r="B149" s="416"/>
      <c r="C149" s="138" t="str">
        <f t="shared" si="140"/>
        <v/>
      </c>
      <c r="D149" s="135" t="str">
        <f t="shared" si="141"/>
        <v/>
      </c>
      <c r="E149" s="130" t="str">
        <f t="shared" si="142"/>
        <v/>
      </c>
      <c r="F149" s="130" t="str">
        <f t="shared" si="143"/>
        <v/>
      </c>
      <c r="G149" s="130">
        <f t="shared" si="144"/>
        <v>0</v>
      </c>
      <c r="H149" s="130" t="str">
        <f t="shared" si="145"/>
        <v/>
      </c>
      <c r="I149" s="130"/>
      <c r="J149" s="130">
        <f t="shared" si="146"/>
        <v>0</v>
      </c>
      <c r="K149" s="148" t="str">
        <f t="shared" si="152"/>
        <v/>
      </c>
      <c r="L149" s="147" t="b">
        <f>IF(G149&gt;3,(ISERROR(VLOOKUP(K149,K$129:K148,1,FALSE))),FALSE)</f>
        <v>0</v>
      </c>
      <c r="M149" s="147" t="str">
        <f t="shared" si="147"/>
        <v/>
      </c>
      <c r="N149" s="9"/>
      <c r="O149" s="153" t="str">
        <f t="shared" si="148"/>
        <v/>
      </c>
      <c r="P149" s="153" t="b">
        <f>IF(J149&gt;2,(ISERROR(VLOOKUP(O149,O$129:O148,1,FALSE))),FALSE)</f>
        <v>0</v>
      </c>
      <c r="Q149" s="153" t="str">
        <f t="shared" si="149"/>
        <v/>
      </c>
      <c r="R149" s="168" t="str">
        <f t="shared" si="150"/>
        <v/>
      </c>
      <c r="S149" s="168" t="b">
        <f>IF(AND(G149&gt;0,G149&lt;3),(ISERROR(VLOOKUP(R149,R$129:R148,1,FALSE))),FALSE)</f>
        <v>0</v>
      </c>
      <c r="T149" s="168" t="str">
        <f t="shared" si="151"/>
        <v/>
      </c>
      <c r="U149" s="9"/>
      <c r="V149" s="9"/>
      <c r="W149" s="9"/>
      <c r="X149" s="37"/>
      <c r="Y149" s="9"/>
      <c r="Z149" s="9"/>
      <c r="AA149" s="9"/>
      <c r="AE149" s="27"/>
      <c r="AP149" s="1"/>
      <c r="AQ149" s="1"/>
      <c r="AR149" s="1"/>
      <c r="AS149" s="1"/>
      <c r="BF149" s="1"/>
      <c r="BG149" s="1"/>
    </row>
    <row r="150" spans="1:59" ht="13.5" hidden="1" x14ac:dyDescent="0.25">
      <c r="A150" s="264"/>
      <c r="B150" s="416"/>
      <c r="C150" s="138" t="str">
        <f t="shared" si="140"/>
        <v/>
      </c>
      <c r="D150" s="135" t="str">
        <f t="shared" si="141"/>
        <v/>
      </c>
      <c r="E150" s="130" t="str">
        <f t="shared" si="142"/>
        <v/>
      </c>
      <c r="F150" s="130" t="str">
        <f t="shared" si="143"/>
        <v/>
      </c>
      <c r="G150" s="130">
        <f t="shared" si="144"/>
        <v>0</v>
      </c>
      <c r="H150" s="130" t="str">
        <f t="shared" si="145"/>
        <v/>
      </c>
      <c r="I150" s="130"/>
      <c r="J150" s="130">
        <f t="shared" si="146"/>
        <v>0</v>
      </c>
      <c r="K150" s="148" t="str">
        <f t="shared" si="152"/>
        <v/>
      </c>
      <c r="L150" s="147" t="b">
        <f>IF(G150&gt;3,(ISERROR(VLOOKUP(K150,K$129:K149,1,FALSE))),FALSE)</f>
        <v>0</v>
      </c>
      <c r="M150" s="147" t="str">
        <f t="shared" si="147"/>
        <v/>
      </c>
      <c r="N150" s="9"/>
      <c r="O150" s="153" t="str">
        <f t="shared" si="148"/>
        <v/>
      </c>
      <c r="P150" s="153" t="b">
        <f>IF(J150&gt;2,(ISERROR(VLOOKUP(O150,O$129:O149,1,FALSE))),FALSE)</f>
        <v>0</v>
      </c>
      <c r="Q150" s="153" t="str">
        <f t="shared" si="149"/>
        <v/>
      </c>
      <c r="R150" s="168" t="str">
        <f t="shared" si="150"/>
        <v/>
      </c>
      <c r="S150" s="168" t="b">
        <f>IF(AND(G150&gt;0,G150&lt;3),(ISERROR(VLOOKUP(R150,R$129:R149,1,FALSE))),FALSE)</f>
        <v>0</v>
      </c>
      <c r="T150" s="168" t="str">
        <f t="shared" si="151"/>
        <v/>
      </c>
      <c r="U150" s="9"/>
      <c r="V150" s="9"/>
      <c r="W150" s="9"/>
      <c r="X150" s="37"/>
      <c r="Y150" s="9"/>
      <c r="Z150" s="9"/>
      <c r="AA150" s="9"/>
      <c r="AE150" s="27"/>
      <c r="AP150" s="1"/>
      <c r="AQ150" s="1"/>
      <c r="AR150" s="1"/>
      <c r="AS150" s="1"/>
      <c r="BF150" s="1"/>
      <c r="BG150" s="1"/>
    </row>
    <row r="151" spans="1:59" ht="13.5" hidden="1" x14ac:dyDescent="0.25">
      <c r="A151" s="264"/>
      <c r="B151" s="416"/>
      <c r="C151" s="138" t="str">
        <f t="shared" si="140"/>
        <v/>
      </c>
      <c r="D151" s="135" t="str">
        <f t="shared" si="141"/>
        <v/>
      </c>
      <c r="E151" s="130" t="str">
        <f t="shared" si="142"/>
        <v/>
      </c>
      <c r="F151" s="130" t="str">
        <f t="shared" si="143"/>
        <v/>
      </c>
      <c r="G151" s="130">
        <f t="shared" si="144"/>
        <v>0</v>
      </c>
      <c r="H151" s="130" t="str">
        <f t="shared" si="145"/>
        <v/>
      </c>
      <c r="I151" s="130"/>
      <c r="J151" s="130">
        <f t="shared" si="146"/>
        <v>0</v>
      </c>
      <c r="K151" s="148" t="str">
        <f t="shared" si="152"/>
        <v/>
      </c>
      <c r="L151" s="147" t="b">
        <f>IF(G151&gt;3,(ISERROR(VLOOKUP(K151,K$129:K150,1,FALSE))),FALSE)</f>
        <v>0</v>
      </c>
      <c r="M151" s="147" t="str">
        <f t="shared" si="147"/>
        <v/>
      </c>
      <c r="N151" s="9"/>
      <c r="O151" s="153" t="str">
        <f t="shared" si="148"/>
        <v/>
      </c>
      <c r="P151" s="153" t="b">
        <f>IF(J151&gt;2,(ISERROR(VLOOKUP(O151,O$129:O150,1,FALSE))),FALSE)</f>
        <v>0</v>
      </c>
      <c r="Q151" s="153" t="str">
        <f t="shared" si="149"/>
        <v/>
      </c>
      <c r="R151" s="168" t="str">
        <f t="shared" si="150"/>
        <v/>
      </c>
      <c r="S151" s="168" t="b">
        <f>IF(AND(G151&gt;0,G151&lt;3),(ISERROR(VLOOKUP(R151,R$129:R150,1,FALSE))),FALSE)</f>
        <v>0</v>
      </c>
      <c r="T151" s="168" t="str">
        <f t="shared" si="151"/>
        <v/>
      </c>
      <c r="U151" s="9"/>
      <c r="V151" s="9"/>
      <c r="W151" s="9"/>
      <c r="X151" s="37"/>
      <c r="Y151" s="9"/>
      <c r="Z151" s="9"/>
      <c r="AA151" s="9"/>
      <c r="AE151" s="27"/>
      <c r="AP151" s="1"/>
      <c r="AQ151" s="1"/>
      <c r="AR151" s="1"/>
      <c r="AS151" s="1"/>
      <c r="BF151" s="1"/>
      <c r="BG151" s="1"/>
    </row>
    <row r="152" spans="1:59" ht="13.5" hidden="1" x14ac:dyDescent="0.25">
      <c r="A152" s="264"/>
      <c r="B152" s="416"/>
      <c r="C152" s="138" t="str">
        <f t="shared" si="140"/>
        <v/>
      </c>
      <c r="D152" s="135" t="str">
        <f t="shared" si="141"/>
        <v/>
      </c>
      <c r="E152" s="130" t="str">
        <f t="shared" si="142"/>
        <v/>
      </c>
      <c r="F152" s="130" t="str">
        <f t="shared" si="143"/>
        <v/>
      </c>
      <c r="G152" s="130">
        <f t="shared" si="144"/>
        <v>0</v>
      </c>
      <c r="H152" s="130" t="str">
        <f t="shared" si="145"/>
        <v/>
      </c>
      <c r="I152" s="130"/>
      <c r="J152" s="130">
        <f t="shared" si="146"/>
        <v>0</v>
      </c>
      <c r="K152" s="148" t="str">
        <f t="shared" si="152"/>
        <v/>
      </c>
      <c r="L152" s="147" t="b">
        <f>IF(G152&gt;3,(ISERROR(VLOOKUP(K152,K$129:K151,1,FALSE))),FALSE)</f>
        <v>0</v>
      </c>
      <c r="M152" s="147" t="str">
        <f t="shared" si="147"/>
        <v/>
      </c>
      <c r="N152" s="9"/>
      <c r="O152" s="153" t="str">
        <f t="shared" si="148"/>
        <v/>
      </c>
      <c r="P152" s="153" t="b">
        <f>IF(J152&gt;2,(ISERROR(VLOOKUP(O152,O$129:O151,1,FALSE))),FALSE)</f>
        <v>0</v>
      </c>
      <c r="Q152" s="153" t="str">
        <f t="shared" si="149"/>
        <v/>
      </c>
      <c r="R152" s="168" t="str">
        <f t="shared" si="150"/>
        <v/>
      </c>
      <c r="S152" s="168" t="b">
        <f>IF(AND(G152&gt;0,G152&lt;3),(ISERROR(VLOOKUP(R152,R$129:R151,1,FALSE))),FALSE)</f>
        <v>0</v>
      </c>
      <c r="T152" s="168" t="str">
        <f t="shared" si="151"/>
        <v/>
      </c>
      <c r="U152" s="9"/>
      <c r="V152" s="9"/>
      <c r="W152" s="9"/>
      <c r="X152" s="37"/>
      <c r="Y152" s="9"/>
      <c r="Z152" s="9"/>
      <c r="AA152" s="9"/>
      <c r="AE152" s="27"/>
      <c r="AP152" s="1"/>
      <c r="AQ152" s="1"/>
      <c r="AR152" s="1"/>
      <c r="AS152" s="1"/>
      <c r="BF152" s="1"/>
      <c r="BG152" s="1"/>
    </row>
    <row r="153" spans="1:59" ht="13.5" hidden="1" x14ac:dyDescent="0.25">
      <c r="A153" s="264"/>
      <c r="B153" s="416"/>
      <c r="C153" s="138" t="str">
        <f t="shared" si="140"/>
        <v/>
      </c>
      <c r="D153" s="135" t="str">
        <f t="shared" si="141"/>
        <v/>
      </c>
      <c r="E153" s="130" t="str">
        <f t="shared" si="142"/>
        <v/>
      </c>
      <c r="F153" s="130" t="str">
        <f t="shared" si="143"/>
        <v/>
      </c>
      <c r="G153" s="130">
        <f t="shared" si="144"/>
        <v>0</v>
      </c>
      <c r="H153" s="130" t="str">
        <f t="shared" si="145"/>
        <v/>
      </c>
      <c r="I153" s="130"/>
      <c r="J153" s="130">
        <f t="shared" si="146"/>
        <v>0</v>
      </c>
      <c r="K153" s="148" t="str">
        <f t="shared" si="152"/>
        <v/>
      </c>
      <c r="L153" s="147" t="b">
        <f>IF(G153&gt;3,(ISERROR(VLOOKUP(K153,K$129:K152,1,FALSE))),FALSE)</f>
        <v>0</v>
      </c>
      <c r="M153" s="147" t="str">
        <f t="shared" si="147"/>
        <v/>
      </c>
      <c r="N153" s="9"/>
      <c r="O153" s="153" t="str">
        <f t="shared" si="148"/>
        <v/>
      </c>
      <c r="P153" s="153" t="b">
        <f>IF(J153&gt;2,(ISERROR(VLOOKUP(O153,O$129:O152,1,FALSE))),FALSE)</f>
        <v>0</v>
      </c>
      <c r="Q153" s="153" t="str">
        <f t="shared" si="149"/>
        <v/>
      </c>
      <c r="R153" s="168" t="str">
        <f t="shared" si="150"/>
        <v/>
      </c>
      <c r="S153" s="168" t="b">
        <f>IF(AND(G153&gt;0,G153&lt;3),(ISERROR(VLOOKUP(R153,R$129:R152,1,FALSE))),FALSE)</f>
        <v>0</v>
      </c>
      <c r="T153" s="168" t="str">
        <f t="shared" si="151"/>
        <v/>
      </c>
      <c r="U153" s="9"/>
      <c r="V153" s="9"/>
      <c r="W153" s="9"/>
      <c r="X153" s="37"/>
      <c r="Y153" s="9"/>
      <c r="Z153" s="9"/>
      <c r="AA153" s="9"/>
      <c r="AE153" s="27"/>
      <c r="AP153" s="1"/>
      <c r="AQ153" s="1"/>
      <c r="AR153" s="1"/>
      <c r="AS153" s="1"/>
      <c r="BF153" s="1"/>
      <c r="BG153" s="1"/>
    </row>
    <row r="154" spans="1:59" ht="13.5" hidden="1" x14ac:dyDescent="0.25">
      <c r="A154" s="264"/>
      <c r="B154" s="416"/>
      <c r="C154" s="138" t="str">
        <f t="shared" si="140"/>
        <v/>
      </c>
      <c r="D154" s="135" t="str">
        <f t="shared" si="141"/>
        <v/>
      </c>
      <c r="E154" s="130" t="str">
        <f t="shared" si="142"/>
        <v/>
      </c>
      <c r="F154" s="130" t="str">
        <f t="shared" si="143"/>
        <v/>
      </c>
      <c r="G154" s="130">
        <f t="shared" si="144"/>
        <v>0</v>
      </c>
      <c r="H154" s="130" t="str">
        <f t="shared" si="145"/>
        <v/>
      </c>
      <c r="I154" s="130"/>
      <c r="J154" s="130">
        <f t="shared" si="146"/>
        <v>0</v>
      </c>
      <c r="K154" s="148" t="str">
        <f t="shared" si="152"/>
        <v/>
      </c>
      <c r="L154" s="147" t="b">
        <f>IF(G154&gt;3,(ISERROR(VLOOKUP(K154,K$129:K153,1,FALSE))),FALSE)</f>
        <v>0</v>
      </c>
      <c r="M154" s="147" t="str">
        <f t="shared" si="147"/>
        <v/>
      </c>
      <c r="N154" s="9"/>
      <c r="O154" s="153" t="str">
        <f t="shared" si="148"/>
        <v/>
      </c>
      <c r="P154" s="153" t="b">
        <f>IF(J154&gt;2,(ISERROR(VLOOKUP(O154,O$129:O153,1,FALSE))),FALSE)</f>
        <v>0</v>
      </c>
      <c r="Q154" s="153" t="str">
        <f t="shared" si="149"/>
        <v/>
      </c>
      <c r="R154" s="168" t="str">
        <f t="shared" si="150"/>
        <v/>
      </c>
      <c r="S154" s="168" t="b">
        <f>IF(AND(G154&gt;0,G154&lt;3),(ISERROR(VLOOKUP(R154,R$129:R153,1,FALSE))),FALSE)</f>
        <v>0</v>
      </c>
      <c r="T154" s="168" t="str">
        <f t="shared" si="151"/>
        <v/>
      </c>
      <c r="U154" s="9"/>
      <c r="V154" s="9"/>
      <c r="W154" s="9"/>
      <c r="X154" s="37"/>
      <c r="Y154" s="9"/>
      <c r="Z154" s="9"/>
      <c r="AA154" s="9"/>
      <c r="AE154" s="27"/>
      <c r="AP154" s="1"/>
      <c r="AQ154" s="1"/>
      <c r="AR154" s="1"/>
      <c r="AS154" s="1"/>
      <c r="BF154" s="1"/>
      <c r="BG154" s="1"/>
    </row>
    <row r="155" spans="1:59" ht="14.25" hidden="1" thickBot="1" x14ac:dyDescent="0.3">
      <c r="A155" s="264"/>
      <c r="B155" s="416"/>
      <c r="C155" s="139" t="str">
        <f t="shared" si="140"/>
        <v/>
      </c>
      <c r="D155" s="140" t="str">
        <f t="shared" si="141"/>
        <v/>
      </c>
      <c r="E155" s="131" t="str">
        <f t="shared" si="142"/>
        <v/>
      </c>
      <c r="F155" s="131" t="str">
        <f t="shared" si="143"/>
        <v/>
      </c>
      <c r="G155" s="131">
        <f t="shared" si="144"/>
        <v>0</v>
      </c>
      <c r="H155" s="131" t="str">
        <f t="shared" si="145"/>
        <v/>
      </c>
      <c r="I155" s="131"/>
      <c r="J155" s="131">
        <f t="shared" si="146"/>
        <v>0</v>
      </c>
      <c r="K155" s="148" t="str">
        <f t="shared" si="152"/>
        <v/>
      </c>
      <c r="L155" s="147" t="b">
        <f>IF(G155&gt;3,(ISERROR(VLOOKUP(K155,K$129:K154,1,FALSE))),FALSE)</f>
        <v>0</v>
      </c>
      <c r="M155" s="147" t="str">
        <f t="shared" si="147"/>
        <v/>
      </c>
      <c r="N155" s="9"/>
      <c r="O155" s="153" t="str">
        <f t="shared" si="148"/>
        <v/>
      </c>
      <c r="P155" s="153" t="b">
        <f>IF(J155&gt;2,(ISERROR(VLOOKUP(O155,O$129:O154,1,FALSE))),FALSE)</f>
        <v>0</v>
      </c>
      <c r="Q155" s="153" t="str">
        <f t="shared" si="149"/>
        <v/>
      </c>
      <c r="R155" s="168" t="str">
        <f t="shared" si="150"/>
        <v/>
      </c>
      <c r="S155" s="168" t="b">
        <f>IF(AND(G155&gt;0,G155&lt;3),(ISERROR(VLOOKUP(R155,R$129:R154,1,FALSE))),FALSE)</f>
        <v>0</v>
      </c>
      <c r="T155" s="168" t="str">
        <f t="shared" si="151"/>
        <v/>
      </c>
      <c r="U155" s="9"/>
      <c r="V155" s="9"/>
      <c r="W155" s="9"/>
      <c r="X155" s="37"/>
      <c r="Y155" s="9"/>
      <c r="Z155" s="9"/>
      <c r="AA155" s="9"/>
      <c r="AE155" s="27"/>
      <c r="AP155" s="1"/>
      <c r="AQ155" s="1"/>
      <c r="AR155" s="1"/>
      <c r="AS155" s="1"/>
      <c r="BF155" s="1"/>
      <c r="BG155" s="1"/>
    </row>
    <row r="156" spans="1:59" ht="13.5" hidden="1" thickBot="1" x14ac:dyDescent="0.25">
      <c r="A156" s="265"/>
      <c r="B156" s="417"/>
      <c r="C156" s="31"/>
      <c r="D156" s="31"/>
      <c r="E156" s="31"/>
      <c r="F156" s="31"/>
      <c r="G156" s="155"/>
      <c r="H156" s="31"/>
      <c r="I156" s="31"/>
      <c r="J156" s="31"/>
      <c r="K156" s="156"/>
      <c r="L156" s="157">
        <f>COUNTIF(L129:L155,TRUE)</f>
        <v>0</v>
      </c>
      <c r="M156" s="156" t="str">
        <f>CONCATENATE(M129,M130,M131,M132,M133,M134,M135,M136,M137,M138,M139,M140,M141,M142,M143,M144,M145,M146,M147,M148,M149,M150,M151,M152,M153,M154,M155)</f>
        <v/>
      </c>
      <c r="N156" s="31"/>
      <c r="O156" s="158"/>
      <c r="P156" s="159">
        <f>COUNTIF(P129:P155,TRUE)</f>
        <v>0</v>
      </c>
      <c r="Q156" s="158" t="str">
        <f>CONCATENATE(Q129,Q130,Q131,Q132,Q133,Q134,Q135,Q136,Q137,Q138,Q139,Q140,Q141,Q142,Q143,Q144,Q145,Q146,Q147,Q148,Q149,Q150,Q151,Q152,Q153,Q154,Q155)</f>
        <v/>
      </c>
      <c r="R156" s="169"/>
      <c r="S156" s="170">
        <f>COUNTIF(S129:S155,TRUE)</f>
        <v>0</v>
      </c>
      <c r="T156" s="169" t="str">
        <f>CONCATENATE(T129,T130,T131,T132,T133,T134,T135,T136,T137,T138,T139,T140,T141,T142,T143,T144,T145,T146,T147,T148,T149,T150,T151,T152,T153,T154,T155)</f>
        <v/>
      </c>
      <c r="U156" s="31"/>
      <c r="V156" s="31"/>
      <c r="W156" s="31"/>
      <c r="X156" s="43"/>
      <c r="Y156" s="9"/>
      <c r="Z156" s="9"/>
      <c r="AA156" s="9"/>
      <c r="AE156" s="27"/>
      <c r="AP156" s="1"/>
      <c r="AQ156" s="1"/>
      <c r="AR156" s="1"/>
      <c r="AS156" s="1"/>
      <c r="BF156" s="1"/>
      <c r="BG156" s="1"/>
    </row>
    <row r="157" spans="1:59" hidden="1" x14ac:dyDescent="0.2">
      <c r="A157" s="257"/>
      <c r="J157" s="144"/>
      <c r="S157" s="9"/>
      <c r="T157" s="9"/>
      <c r="U157" s="9"/>
      <c r="V157" s="9"/>
      <c r="W157" s="9"/>
      <c r="X157" s="9"/>
      <c r="Y157" s="9"/>
      <c r="Z157" s="9"/>
      <c r="AA157" s="9"/>
      <c r="AE157" s="27"/>
      <c r="AP157" s="1"/>
      <c r="AQ157" s="1"/>
      <c r="AR157" s="1"/>
      <c r="AS157" s="1"/>
      <c r="BF157" s="1"/>
      <c r="BG157" s="1"/>
    </row>
    <row r="158" spans="1:59" hidden="1" x14ac:dyDescent="0.2">
      <c r="A158" s="257"/>
      <c r="C158" s="134" t="s">
        <v>430</v>
      </c>
      <c r="AE158" s="27"/>
      <c r="AP158" s="1"/>
      <c r="AQ158" s="1"/>
      <c r="AR158" s="1"/>
      <c r="AS158" s="1"/>
      <c r="BF158" s="1"/>
      <c r="BG158" s="1"/>
    </row>
    <row r="159" spans="1:59" hidden="1" x14ac:dyDescent="0.2">
      <c r="A159" s="257"/>
      <c r="E159" s="134" t="s">
        <v>444</v>
      </c>
      <c r="AE159" s="27"/>
      <c r="AP159" s="1"/>
      <c r="AQ159" s="1"/>
      <c r="AR159" s="1"/>
      <c r="AS159" s="1"/>
      <c r="BF159" s="1"/>
      <c r="BG159" s="1"/>
    </row>
    <row r="160" spans="1:59" hidden="1" x14ac:dyDescent="0.2">
      <c r="A160" s="257"/>
      <c r="C160" s="82" t="s">
        <v>436</v>
      </c>
      <c r="E160" s="292" t="s">
        <v>431</v>
      </c>
      <c r="F160" s="293" t="s">
        <v>12</v>
      </c>
      <c r="G160" s="293" t="s">
        <v>389</v>
      </c>
      <c r="H160" s="293" t="s">
        <v>432</v>
      </c>
      <c r="I160" s="293"/>
      <c r="J160" s="293" t="s">
        <v>433</v>
      </c>
      <c r="K160" s="293" t="s">
        <v>434</v>
      </c>
      <c r="L160" s="294" t="s">
        <v>435</v>
      </c>
      <c r="M160" s="295" t="s">
        <v>443</v>
      </c>
      <c r="N160" s="296" t="s">
        <v>440</v>
      </c>
      <c r="O160" s="295" t="s">
        <v>445</v>
      </c>
      <c r="P160" s="300" t="s">
        <v>448</v>
      </c>
      <c r="S160" s="301" t="s">
        <v>585</v>
      </c>
      <c r="T160" s="302"/>
      <c r="U160" s="302"/>
      <c r="AE160" s="27"/>
      <c r="AP160" s="1"/>
      <c r="AQ160" s="1"/>
      <c r="AR160" s="1"/>
      <c r="AS160" s="1"/>
      <c r="BF160" s="1"/>
      <c r="BG160" s="1"/>
    </row>
    <row r="161" spans="1:59" hidden="1" x14ac:dyDescent="0.2">
      <c r="A161" s="257"/>
      <c r="C161" s="82">
        <v>1</v>
      </c>
      <c r="D161" s="1" t="s">
        <v>267</v>
      </c>
      <c r="E161" s="173">
        <f>Entrants!D144+COUNTIF(M$17:M$43,$D161)</f>
        <v>0</v>
      </c>
      <c r="F161" s="130">
        <f>Entrants!E144+COUNTIF(N$17:N$43,$D161)</f>
        <v>0</v>
      </c>
      <c r="G161" s="130">
        <f>Entrants!F144+COUNTIF(O$17:O$43,$D161)</f>
        <v>0</v>
      </c>
      <c r="H161" s="130">
        <f>Entrants!G144+COUNTIF(P$17:P$43,$D161)</f>
        <v>0</v>
      </c>
      <c r="I161" s="130"/>
      <c r="J161" s="130">
        <f>Entrants!I144+COUNTIF(Q$17:Q$43,$D161)</f>
        <v>0</v>
      </c>
      <c r="K161" s="130">
        <f>Entrants!J144+COUNTIF(R$17:R$43,$D161)</f>
        <v>0</v>
      </c>
      <c r="L161" s="174">
        <f>Entrants!K144+COUNTIF(T$17:T$43,$D161)</f>
        <v>0</v>
      </c>
      <c r="M161" s="190">
        <f t="shared" ref="M161:M178" si="153">SUM(E161:L161)</f>
        <v>0</v>
      </c>
      <c r="N161" s="190">
        <f t="shared" ref="N161:N178" si="154">COUNTIF(M161,"&gt;4")</f>
        <v>0</v>
      </c>
      <c r="O161" s="189" t="str">
        <f t="shared" ref="O161:O178" si="155">IF(N161=1,CONCATENATE(" Gun ",$C161," used too many times ; "),"")</f>
        <v/>
      </c>
      <c r="P161" s="201">
        <f t="shared" ref="P161:P178" si="156">IF(M161=1,1,0)</f>
        <v>0</v>
      </c>
      <c r="Q161" s="208" t="str">
        <f t="shared" ref="Q161:Q178" si="157">IF(M161=1,D161,"")</f>
        <v/>
      </c>
      <c r="R161" s="186" t="str">
        <f t="shared" ref="R161:R178" si="158">IF(M161=1,CONCATENATE("Gun ",C161," is shown as shared but used only once; "),"")</f>
        <v/>
      </c>
      <c r="S161" s="302">
        <f t="shared" ref="S161:S178" si="159">7-COUNTIF(E161:L161,0)</f>
        <v>0</v>
      </c>
      <c r="T161" s="302">
        <f t="shared" ref="T161:T178" si="160">IF(S161&gt;1,1,0)</f>
        <v>0</v>
      </c>
      <c r="U161" s="302" t="str">
        <f>IF(S161&gt;1,CONCATENATE("Gun ",C161," used in ",S161," classes"),"")</f>
        <v/>
      </c>
      <c r="AE161" s="27"/>
      <c r="AP161" s="1"/>
      <c r="AQ161" s="1"/>
      <c r="AR161" s="1"/>
      <c r="AS161" s="1"/>
      <c r="BF161" s="1"/>
      <c r="BG161" s="1"/>
    </row>
    <row r="162" spans="1:59" hidden="1" x14ac:dyDescent="0.2">
      <c r="C162" s="82">
        <v>2</v>
      </c>
      <c r="D162" s="1" t="s">
        <v>266</v>
      </c>
      <c r="E162" s="173">
        <f>Entrants!D145+COUNTIF(M$17:M$43,$D162)</f>
        <v>0</v>
      </c>
      <c r="F162" s="130">
        <f>Entrants!E145+COUNTIF(N$17:N$43,$D162)</f>
        <v>0</v>
      </c>
      <c r="G162" s="130">
        <f>Entrants!F145+COUNTIF(O$17:O$43,$D162)</f>
        <v>0</v>
      </c>
      <c r="H162" s="130">
        <f>Entrants!G145+COUNTIF(P$17:P$43,$D162)</f>
        <v>0</v>
      </c>
      <c r="I162" s="130"/>
      <c r="J162" s="130">
        <f>Entrants!I145+COUNTIF(Q$17:Q$43,$D162)</f>
        <v>0</v>
      </c>
      <c r="K162" s="130">
        <f>Entrants!J145+COUNTIF(R$17:R$43,$D162)</f>
        <v>0</v>
      </c>
      <c r="L162" s="174">
        <f>Entrants!K145+COUNTIF(T$17:T$43,$D162)</f>
        <v>0</v>
      </c>
      <c r="M162" s="190">
        <f t="shared" si="153"/>
        <v>0</v>
      </c>
      <c r="N162" s="190">
        <f t="shared" si="154"/>
        <v>0</v>
      </c>
      <c r="O162" s="189" t="str">
        <f t="shared" si="155"/>
        <v/>
      </c>
      <c r="P162" s="201">
        <f t="shared" si="156"/>
        <v>0</v>
      </c>
      <c r="Q162" s="208" t="str">
        <f t="shared" si="157"/>
        <v/>
      </c>
      <c r="R162" s="186" t="str">
        <f t="shared" si="158"/>
        <v/>
      </c>
      <c r="S162" s="302">
        <f t="shared" si="159"/>
        <v>0</v>
      </c>
      <c r="T162" s="302">
        <f t="shared" si="160"/>
        <v>0</v>
      </c>
      <c r="U162" s="302" t="str">
        <f t="shared" ref="U162:U178" si="161">IF(S162&gt;1,CONCATENATE("Gun ",C162," used in ",S162," classes; "),"")</f>
        <v/>
      </c>
      <c r="AE162" s="27"/>
      <c r="AP162" s="1"/>
      <c r="AQ162" s="1"/>
      <c r="AR162" s="1"/>
      <c r="AS162" s="1"/>
      <c r="BF162" s="1"/>
      <c r="BG162" s="1"/>
    </row>
    <row r="163" spans="1:59" hidden="1" x14ac:dyDescent="0.2">
      <c r="C163" s="82">
        <v>3</v>
      </c>
      <c r="D163" s="1" t="s">
        <v>265</v>
      </c>
      <c r="E163" s="173">
        <f>Entrants!D146+COUNTIF(M$17:M$43,$D163)</f>
        <v>0</v>
      </c>
      <c r="F163" s="130">
        <f>Entrants!E146+COUNTIF(N$17:N$43,$D163)</f>
        <v>0</v>
      </c>
      <c r="G163" s="130">
        <f>Entrants!F146+COUNTIF(O$17:O$43,$D163)</f>
        <v>0</v>
      </c>
      <c r="H163" s="130">
        <f>Entrants!G146+COUNTIF(P$17:P$43,$D163)</f>
        <v>0</v>
      </c>
      <c r="I163" s="130"/>
      <c r="J163" s="130">
        <f>Entrants!I146+COUNTIF(Q$17:Q$43,$D163)</f>
        <v>0</v>
      </c>
      <c r="K163" s="130">
        <f>Entrants!J146+COUNTIF(R$17:R$43,$D163)</f>
        <v>0</v>
      </c>
      <c r="L163" s="174">
        <f>Entrants!K146+COUNTIF(T$17:T$43,$D163)</f>
        <v>0</v>
      </c>
      <c r="M163" s="190">
        <f t="shared" si="153"/>
        <v>0</v>
      </c>
      <c r="N163" s="190">
        <f t="shared" si="154"/>
        <v>0</v>
      </c>
      <c r="O163" s="189" t="str">
        <f t="shared" si="155"/>
        <v/>
      </c>
      <c r="P163" s="201">
        <f t="shared" si="156"/>
        <v>0</v>
      </c>
      <c r="Q163" s="208" t="str">
        <f t="shared" si="157"/>
        <v/>
      </c>
      <c r="R163" s="186" t="str">
        <f t="shared" si="158"/>
        <v/>
      </c>
      <c r="S163" s="302">
        <f t="shared" si="159"/>
        <v>0</v>
      </c>
      <c r="T163" s="302">
        <f t="shared" si="160"/>
        <v>0</v>
      </c>
      <c r="U163" s="302" t="str">
        <f t="shared" si="161"/>
        <v/>
      </c>
      <c r="AE163" s="27"/>
      <c r="AP163" s="1"/>
      <c r="AQ163" s="1"/>
      <c r="AR163" s="1"/>
      <c r="AS163" s="1"/>
      <c r="BF163" s="1"/>
      <c r="BG163" s="1"/>
    </row>
    <row r="164" spans="1:59" hidden="1" x14ac:dyDescent="0.2">
      <c r="C164" s="82">
        <v>4</v>
      </c>
      <c r="D164" s="1" t="s">
        <v>264</v>
      </c>
      <c r="E164" s="173">
        <f>Entrants!D147+COUNTIF(M$17:M$43,$D164)</f>
        <v>0</v>
      </c>
      <c r="F164" s="130">
        <f>Entrants!E147+COUNTIF(N$17:N$43,$D164)</f>
        <v>0</v>
      </c>
      <c r="G164" s="130">
        <f>Entrants!F147+COUNTIF(O$17:O$43,$D164)</f>
        <v>0</v>
      </c>
      <c r="H164" s="130">
        <f>Entrants!G147+COUNTIF(P$17:P$43,$D164)</f>
        <v>0</v>
      </c>
      <c r="I164" s="130"/>
      <c r="J164" s="130">
        <f>Entrants!I147+COUNTIF(Q$17:Q$43,$D164)</f>
        <v>0</v>
      </c>
      <c r="K164" s="130">
        <f>Entrants!J147+COUNTIF(R$17:R$43,$D164)</f>
        <v>0</v>
      </c>
      <c r="L164" s="174">
        <f>Entrants!K147+COUNTIF(T$17:T$43,$D164)</f>
        <v>0</v>
      </c>
      <c r="M164" s="190">
        <f t="shared" si="153"/>
        <v>0</v>
      </c>
      <c r="N164" s="190">
        <f t="shared" si="154"/>
        <v>0</v>
      </c>
      <c r="O164" s="189" t="str">
        <f t="shared" si="155"/>
        <v/>
      </c>
      <c r="P164" s="201">
        <f t="shared" si="156"/>
        <v>0</v>
      </c>
      <c r="Q164" s="208" t="str">
        <f t="shared" si="157"/>
        <v/>
      </c>
      <c r="R164" s="186" t="str">
        <f t="shared" si="158"/>
        <v/>
      </c>
      <c r="S164" s="302">
        <f t="shared" si="159"/>
        <v>0</v>
      </c>
      <c r="T164" s="302">
        <f t="shared" si="160"/>
        <v>0</v>
      </c>
      <c r="U164" s="302" t="str">
        <f t="shared" si="161"/>
        <v/>
      </c>
      <c r="AE164" s="27"/>
      <c r="AP164" s="1"/>
      <c r="AQ164" s="1"/>
      <c r="AR164" s="1"/>
      <c r="AS164" s="1"/>
      <c r="BF164" s="1"/>
      <c r="BG164" s="1"/>
    </row>
    <row r="165" spans="1:59" hidden="1" x14ac:dyDescent="0.2">
      <c r="C165" s="82">
        <v>5</v>
      </c>
      <c r="D165" s="1" t="s">
        <v>263</v>
      </c>
      <c r="E165" s="173">
        <f>Entrants!D148+COUNTIF(M$17:M$43,$D165)</f>
        <v>0</v>
      </c>
      <c r="F165" s="130">
        <f>Entrants!E148+COUNTIF(N$17:N$43,$D165)</f>
        <v>0</v>
      </c>
      <c r="G165" s="130">
        <f>Entrants!F148+COUNTIF(O$17:O$43,$D165)</f>
        <v>0</v>
      </c>
      <c r="H165" s="130">
        <f>Entrants!G148+COUNTIF(P$17:P$43,$D165)</f>
        <v>0</v>
      </c>
      <c r="I165" s="130"/>
      <c r="J165" s="130">
        <f>Entrants!I148+COUNTIF(Q$17:Q$43,$D165)</f>
        <v>0</v>
      </c>
      <c r="K165" s="130">
        <f>Entrants!J148+COUNTIF(R$17:R$43,$D165)</f>
        <v>0</v>
      </c>
      <c r="L165" s="174">
        <f>Entrants!K148+COUNTIF(T$17:T$43,$D165)</f>
        <v>0</v>
      </c>
      <c r="M165" s="190">
        <f t="shared" si="153"/>
        <v>0</v>
      </c>
      <c r="N165" s="190">
        <f t="shared" si="154"/>
        <v>0</v>
      </c>
      <c r="O165" s="189" t="str">
        <f t="shared" si="155"/>
        <v/>
      </c>
      <c r="P165" s="201">
        <f t="shared" si="156"/>
        <v>0</v>
      </c>
      <c r="Q165" s="208" t="str">
        <f t="shared" si="157"/>
        <v/>
      </c>
      <c r="R165" s="186" t="str">
        <f t="shared" si="158"/>
        <v/>
      </c>
      <c r="S165" s="302">
        <f t="shared" si="159"/>
        <v>0</v>
      </c>
      <c r="T165" s="302">
        <f t="shared" si="160"/>
        <v>0</v>
      </c>
      <c r="U165" s="302" t="str">
        <f t="shared" si="161"/>
        <v/>
      </c>
      <c r="AE165" s="27"/>
      <c r="AP165" s="1"/>
      <c r="AQ165" s="1"/>
      <c r="AR165" s="1"/>
      <c r="AS165" s="1"/>
      <c r="BF165" s="1"/>
      <c r="BG165" s="1"/>
    </row>
    <row r="166" spans="1:59" hidden="1" x14ac:dyDescent="0.2">
      <c r="C166" s="82">
        <v>6</v>
      </c>
      <c r="D166" s="1" t="s">
        <v>262</v>
      </c>
      <c r="E166" s="173">
        <f>Entrants!D149+COUNTIF(M$17:M$43,$D166)</f>
        <v>0</v>
      </c>
      <c r="F166" s="130">
        <f>Entrants!E149+COUNTIF(N$17:N$43,$D166)</f>
        <v>0</v>
      </c>
      <c r="G166" s="130">
        <f>Entrants!F149+COUNTIF(O$17:O$43,$D166)</f>
        <v>0</v>
      </c>
      <c r="H166" s="130">
        <f>Entrants!G149+COUNTIF(P$17:P$43,$D166)</f>
        <v>0</v>
      </c>
      <c r="I166" s="130"/>
      <c r="J166" s="130">
        <f>Entrants!I149+COUNTIF(Q$17:Q$43,$D166)</f>
        <v>0</v>
      </c>
      <c r="K166" s="130">
        <f>Entrants!J149+COUNTIF(R$17:R$43,$D166)</f>
        <v>0</v>
      </c>
      <c r="L166" s="174">
        <f>Entrants!K149+COUNTIF(T$17:T$43,$D166)</f>
        <v>0</v>
      </c>
      <c r="M166" s="190">
        <f t="shared" si="153"/>
        <v>0</v>
      </c>
      <c r="N166" s="190">
        <f t="shared" si="154"/>
        <v>0</v>
      </c>
      <c r="O166" s="189" t="str">
        <f t="shared" si="155"/>
        <v/>
      </c>
      <c r="P166" s="201">
        <f t="shared" si="156"/>
        <v>0</v>
      </c>
      <c r="Q166" s="208" t="str">
        <f t="shared" si="157"/>
        <v/>
      </c>
      <c r="R166" s="186" t="str">
        <f t="shared" si="158"/>
        <v/>
      </c>
      <c r="S166" s="302">
        <f t="shared" si="159"/>
        <v>0</v>
      </c>
      <c r="T166" s="302">
        <f t="shared" si="160"/>
        <v>0</v>
      </c>
      <c r="U166" s="302" t="str">
        <f t="shared" si="161"/>
        <v/>
      </c>
      <c r="AE166" s="27"/>
      <c r="AP166" s="1"/>
      <c r="AQ166" s="1"/>
      <c r="AR166" s="1"/>
      <c r="AS166" s="1"/>
      <c r="BF166" s="1"/>
      <c r="BG166" s="1"/>
    </row>
    <row r="167" spans="1:59" hidden="1" x14ac:dyDescent="0.2">
      <c r="C167" s="82">
        <v>7</v>
      </c>
      <c r="D167" s="1" t="s">
        <v>261</v>
      </c>
      <c r="E167" s="173">
        <f>Entrants!D150+COUNTIF(M$17:M$43,$D167)</f>
        <v>0</v>
      </c>
      <c r="F167" s="130">
        <f>Entrants!E150+COUNTIF(N$17:N$43,$D167)</f>
        <v>0</v>
      </c>
      <c r="G167" s="130">
        <f>Entrants!F150+COUNTIF(O$17:O$43,$D167)</f>
        <v>0</v>
      </c>
      <c r="H167" s="130">
        <f>Entrants!G150+COUNTIF(P$17:P$43,$D167)</f>
        <v>0</v>
      </c>
      <c r="I167" s="130"/>
      <c r="J167" s="130">
        <f>Entrants!I150+COUNTIF(Q$17:Q$43,$D167)</f>
        <v>0</v>
      </c>
      <c r="K167" s="130">
        <f>Entrants!J150+COUNTIF(R$17:R$43,$D167)</f>
        <v>0</v>
      </c>
      <c r="L167" s="174">
        <f>Entrants!K150+COUNTIF(T$17:T$43,$D167)</f>
        <v>0</v>
      </c>
      <c r="M167" s="190">
        <f t="shared" si="153"/>
        <v>0</v>
      </c>
      <c r="N167" s="190">
        <f t="shared" si="154"/>
        <v>0</v>
      </c>
      <c r="O167" s="189" t="str">
        <f t="shared" si="155"/>
        <v/>
      </c>
      <c r="P167" s="201">
        <f t="shared" si="156"/>
        <v>0</v>
      </c>
      <c r="Q167" s="208" t="str">
        <f t="shared" si="157"/>
        <v/>
      </c>
      <c r="R167" s="186" t="str">
        <f t="shared" si="158"/>
        <v/>
      </c>
      <c r="S167" s="302">
        <f t="shared" si="159"/>
        <v>0</v>
      </c>
      <c r="T167" s="302">
        <f t="shared" si="160"/>
        <v>0</v>
      </c>
      <c r="U167" s="302" t="str">
        <f t="shared" si="161"/>
        <v/>
      </c>
      <c r="AE167" s="27"/>
      <c r="AP167" s="1"/>
      <c r="AQ167" s="1"/>
      <c r="AR167" s="1"/>
      <c r="AS167" s="1"/>
      <c r="BF167" s="1"/>
      <c r="BG167" s="1"/>
    </row>
    <row r="168" spans="1:59" hidden="1" x14ac:dyDescent="0.2">
      <c r="C168" s="82">
        <v>8</v>
      </c>
      <c r="D168" s="1" t="s">
        <v>260</v>
      </c>
      <c r="E168" s="173">
        <f>Entrants!D151+COUNTIF(M$17:M$43,$D168)</f>
        <v>0</v>
      </c>
      <c r="F168" s="130">
        <f>Entrants!E151+COUNTIF(N$17:N$43,$D168)</f>
        <v>0</v>
      </c>
      <c r="G168" s="130">
        <f>Entrants!F151+COUNTIF(O$17:O$43,$D168)</f>
        <v>0</v>
      </c>
      <c r="H168" s="130">
        <f>Entrants!G151+COUNTIF(P$17:P$43,$D168)</f>
        <v>0</v>
      </c>
      <c r="I168" s="130"/>
      <c r="J168" s="130">
        <f>Entrants!I151+COUNTIF(Q$17:Q$43,$D168)</f>
        <v>0</v>
      </c>
      <c r="K168" s="130">
        <f>Entrants!J151+COUNTIF(R$17:R$43,$D168)</f>
        <v>0</v>
      </c>
      <c r="L168" s="174">
        <f>Entrants!K151+COUNTIF(T$17:T$43,$D168)</f>
        <v>0</v>
      </c>
      <c r="M168" s="190">
        <f t="shared" si="153"/>
        <v>0</v>
      </c>
      <c r="N168" s="190">
        <f t="shared" si="154"/>
        <v>0</v>
      </c>
      <c r="O168" s="189" t="str">
        <f t="shared" si="155"/>
        <v/>
      </c>
      <c r="P168" s="201">
        <f t="shared" si="156"/>
        <v>0</v>
      </c>
      <c r="Q168" s="208" t="str">
        <f t="shared" si="157"/>
        <v/>
      </c>
      <c r="R168" s="186" t="str">
        <f t="shared" si="158"/>
        <v/>
      </c>
      <c r="S168" s="302">
        <f t="shared" si="159"/>
        <v>0</v>
      </c>
      <c r="T168" s="302">
        <f t="shared" si="160"/>
        <v>0</v>
      </c>
      <c r="U168" s="302" t="str">
        <f t="shared" si="161"/>
        <v/>
      </c>
      <c r="AE168" s="27"/>
      <c r="AP168" s="1"/>
      <c r="AQ168" s="1"/>
      <c r="AR168" s="1"/>
      <c r="AS168" s="1"/>
      <c r="BF168" s="1"/>
      <c r="BG168" s="1"/>
    </row>
    <row r="169" spans="1:59" hidden="1" x14ac:dyDescent="0.2">
      <c r="C169" s="82">
        <v>9</v>
      </c>
      <c r="D169" s="1" t="s">
        <v>259</v>
      </c>
      <c r="E169" s="173">
        <f>Entrants!D152+COUNTIF(M$17:M$43,$D169)</f>
        <v>0</v>
      </c>
      <c r="F169" s="130">
        <f>Entrants!E152+COUNTIF(N$17:N$43,$D169)</f>
        <v>0</v>
      </c>
      <c r="G169" s="130">
        <f>Entrants!F152+COUNTIF(O$17:O$43,$D169)</f>
        <v>0</v>
      </c>
      <c r="H169" s="130">
        <f>Entrants!G152+COUNTIF(P$17:P$43,$D169)</f>
        <v>0</v>
      </c>
      <c r="I169" s="130"/>
      <c r="J169" s="130">
        <f>Entrants!I152+COUNTIF(Q$17:Q$43,$D169)</f>
        <v>0</v>
      </c>
      <c r="K169" s="130">
        <f>Entrants!J152+COUNTIF(R$17:R$43,$D169)</f>
        <v>0</v>
      </c>
      <c r="L169" s="174">
        <f>Entrants!K152+COUNTIF(T$17:T$43,$D169)</f>
        <v>0</v>
      </c>
      <c r="M169" s="190">
        <f t="shared" si="153"/>
        <v>0</v>
      </c>
      <c r="N169" s="190">
        <f t="shared" si="154"/>
        <v>0</v>
      </c>
      <c r="O169" s="189" t="str">
        <f t="shared" si="155"/>
        <v/>
      </c>
      <c r="P169" s="201">
        <f t="shared" si="156"/>
        <v>0</v>
      </c>
      <c r="Q169" s="208" t="str">
        <f t="shared" si="157"/>
        <v/>
      </c>
      <c r="R169" s="186" t="str">
        <f t="shared" si="158"/>
        <v/>
      </c>
      <c r="S169" s="302">
        <f t="shared" si="159"/>
        <v>0</v>
      </c>
      <c r="T169" s="302">
        <f t="shared" si="160"/>
        <v>0</v>
      </c>
      <c r="U169" s="302" t="str">
        <f t="shared" si="161"/>
        <v/>
      </c>
      <c r="AE169" s="27"/>
      <c r="AP169" s="1"/>
      <c r="AQ169" s="1"/>
      <c r="AR169" s="1"/>
      <c r="AS169" s="1"/>
      <c r="BF169" s="1"/>
      <c r="BG169" s="1"/>
    </row>
    <row r="170" spans="1:59" hidden="1" x14ac:dyDescent="0.2">
      <c r="C170" s="82">
        <v>10</v>
      </c>
      <c r="D170" s="1" t="s">
        <v>258</v>
      </c>
      <c r="E170" s="173">
        <f>Entrants!D153+COUNTIF(M$17:M$43,$D170)</f>
        <v>0</v>
      </c>
      <c r="F170" s="130">
        <f>Entrants!E153+COUNTIF(N$17:N$43,$D170)</f>
        <v>0</v>
      </c>
      <c r="G170" s="130">
        <f>Entrants!F153+COUNTIF(O$17:O$43,$D170)</f>
        <v>0</v>
      </c>
      <c r="H170" s="130">
        <f>Entrants!G153+COUNTIF(P$17:P$43,$D170)</f>
        <v>0</v>
      </c>
      <c r="I170" s="130"/>
      <c r="J170" s="130">
        <f>Entrants!I153+COUNTIF(Q$17:Q$43,$D170)</f>
        <v>0</v>
      </c>
      <c r="K170" s="130">
        <f>Entrants!J153+COUNTIF(R$17:R$43,$D170)</f>
        <v>0</v>
      </c>
      <c r="L170" s="174">
        <f>Entrants!K153+COUNTIF(T$17:T$43,$D170)</f>
        <v>0</v>
      </c>
      <c r="M170" s="190">
        <f t="shared" si="153"/>
        <v>0</v>
      </c>
      <c r="N170" s="190">
        <f t="shared" si="154"/>
        <v>0</v>
      </c>
      <c r="O170" s="189" t="str">
        <f t="shared" si="155"/>
        <v/>
      </c>
      <c r="P170" s="201">
        <f t="shared" si="156"/>
        <v>0</v>
      </c>
      <c r="Q170" s="208" t="str">
        <f t="shared" si="157"/>
        <v/>
      </c>
      <c r="R170" s="186" t="str">
        <f t="shared" si="158"/>
        <v/>
      </c>
      <c r="S170" s="302">
        <f t="shared" si="159"/>
        <v>0</v>
      </c>
      <c r="T170" s="302">
        <f t="shared" si="160"/>
        <v>0</v>
      </c>
      <c r="U170" s="302" t="str">
        <f t="shared" si="161"/>
        <v/>
      </c>
      <c r="AE170" s="27"/>
      <c r="AP170" s="1"/>
      <c r="AQ170" s="1"/>
      <c r="AR170" s="1"/>
      <c r="AS170" s="1"/>
      <c r="BF170" s="1"/>
      <c r="BG170" s="1"/>
    </row>
    <row r="171" spans="1:59" hidden="1" x14ac:dyDescent="0.2">
      <c r="C171" s="82">
        <v>11</v>
      </c>
      <c r="D171" s="1" t="s">
        <v>257</v>
      </c>
      <c r="E171" s="173">
        <f>Entrants!D154+COUNTIF(M$17:M$43,$D171)</f>
        <v>0</v>
      </c>
      <c r="F171" s="130">
        <f>Entrants!E154+COUNTIF(N$17:N$43,$D171)</f>
        <v>0</v>
      </c>
      <c r="G171" s="130">
        <f>Entrants!F154+COUNTIF(O$17:O$43,$D171)</f>
        <v>0</v>
      </c>
      <c r="H171" s="130">
        <f>Entrants!G154+COUNTIF(P$17:P$43,$D171)</f>
        <v>0</v>
      </c>
      <c r="I171" s="130"/>
      <c r="J171" s="130">
        <f>Entrants!I154+COUNTIF(Q$17:Q$43,$D171)</f>
        <v>0</v>
      </c>
      <c r="K171" s="130">
        <f>Entrants!J154+COUNTIF(R$17:R$43,$D171)</f>
        <v>0</v>
      </c>
      <c r="L171" s="174">
        <f>Entrants!K154+COUNTIF(T$17:T$43,$D171)</f>
        <v>0</v>
      </c>
      <c r="M171" s="190">
        <f t="shared" si="153"/>
        <v>0</v>
      </c>
      <c r="N171" s="190">
        <f t="shared" si="154"/>
        <v>0</v>
      </c>
      <c r="O171" s="189" t="str">
        <f t="shared" si="155"/>
        <v/>
      </c>
      <c r="P171" s="201">
        <f t="shared" si="156"/>
        <v>0</v>
      </c>
      <c r="Q171" s="208" t="str">
        <f t="shared" si="157"/>
        <v/>
      </c>
      <c r="R171" s="186" t="str">
        <f t="shared" si="158"/>
        <v/>
      </c>
      <c r="S171" s="302">
        <f t="shared" si="159"/>
        <v>0</v>
      </c>
      <c r="T171" s="302">
        <f t="shared" si="160"/>
        <v>0</v>
      </c>
      <c r="U171" s="302" t="str">
        <f t="shared" si="161"/>
        <v/>
      </c>
      <c r="AE171" s="27"/>
      <c r="AP171" s="1"/>
      <c r="AQ171" s="1"/>
      <c r="AR171" s="1"/>
      <c r="AS171" s="1"/>
      <c r="BF171" s="1"/>
      <c r="BG171" s="1"/>
    </row>
    <row r="172" spans="1:59" hidden="1" x14ac:dyDescent="0.2">
      <c r="C172" s="82">
        <v>12</v>
      </c>
      <c r="D172" s="1" t="s">
        <v>256</v>
      </c>
      <c r="E172" s="173">
        <f>Entrants!D155+COUNTIF(M$17:M$43,$D172)</f>
        <v>0</v>
      </c>
      <c r="F172" s="130">
        <f>Entrants!E155+COUNTIF(N$17:N$43,$D172)</f>
        <v>0</v>
      </c>
      <c r="G172" s="130">
        <f>Entrants!F155+COUNTIF(O$17:O$43,$D172)</f>
        <v>0</v>
      </c>
      <c r="H172" s="130">
        <f>Entrants!G155+COUNTIF(P$17:P$43,$D172)</f>
        <v>0</v>
      </c>
      <c r="I172" s="130"/>
      <c r="J172" s="130">
        <f>Entrants!I155+COUNTIF(Q$17:Q$43,$D172)</f>
        <v>0</v>
      </c>
      <c r="K172" s="130">
        <f>Entrants!J155+COUNTIF(R$17:R$43,$D172)</f>
        <v>0</v>
      </c>
      <c r="L172" s="174">
        <f>Entrants!K155+COUNTIF(T$17:T$43,$D172)</f>
        <v>0</v>
      </c>
      <c r="M172" s="190">
        <f t="shared" si="153"/>
        <v>0</v>
      </c>
      <c r="N172" s="190">
        <f t="shared" si="154"/>
        <v>0</v>
      </c>
      <c r="O172" s="189" t="str">
        <f t="shared" si="155"/>
        <v/>
      </c>
      <c r="P172" s="201">
        <f t="shared" si="156"/>
        <v>0</v>
      </c>
      <c r="Q172" s="208" t="str">
        <f t="shared" si="157"/>
        <v/>
      </c>
      <c r="R172" s="186" t="str">
        <f t="shared" si="158"/>
        <v/>
      </c>
      <c r="S172" s="302">
        <f t="shared" si="159"/>
        <v>0</v>
      </c>
      <c r="T172" s="302">
        <f t="shared" si="160"/>
        <v>0</v>
      </c>
      <c r="U172" s="302" t="str">
        <f t="shared" si="161"/>
        <v/>
      </c>
      <c r="AE172" s="27"/>
      <c r="AP172" s="1"/>
      <c r="AQ172" s="1"/>
      <c r="AR172" s="1"/>
      <c r="AS172" s="1"/>
      <c r="BF172" s="1"/>
      <c r="BG172" s="1"/>
    </row>
    <row r="173" spans="1:59" hidden="1" x14ac:dyDescent="0.2">
      <c r="C173" s="82">
        <v>13</v>
      </c>
      <c r="D173" s="1" t="s">
        <v>244</v>
      </c>
      <c r="E173" s="173">
        <f>Entrants!D156+COUNTIF(M$17:M$43,$D173)</f>
        <v>0</v>
      </c>
      <c r="F173" s="130">
        <f>Entrants!E156+COUNTIF(N$17:N$43,$D173)</f>
        <v>0</v>
      </c>
      <c r="G173" s="130">
        <f>Entrants!F156+COUNTIF(O$17:O$43,$D173)</f>
        <v>0</v>
      </c>
      <c r="H173" s="130">
        <f>Entrants!G156+COUNTIF(P$17:P$43,$D173)</f>
        <v>0</v>
      </c>
      <c r="I173" s="130"/>
      <c r="J173" s="130">
        <f>Entrants!I156+COUNTIF(Q$17:Q$43,$D173)</f>
        <v>0</v>
      </c>
      <c r="K173" s="130">
        <f>Entrants!J156+COUNTIF(R$17:R$43,$D173)</f>
        <v>0</v>
      </c>
      <c r="L173" s="174">
        <f>Entrants!K156+COUNTIF(T$17:T$43,$D173)</f>
        <v>0</v>
      </c>
      <c r="M173" s="190">
        <f t="shared" si="153"/>
        <v>0</v>
      </c>
      <c r="N173" s="190">
        <f t="shared" si="154"/>
        <v>0</v>
      </c>
      <c r="O173" s="189" t="str">
        <f t="shared" si="155"/>
        <v/>
      </c>
      <c r="P173" s="201">
        <f t="shared" si="156"/>
        <v>0</v>
      </c>
      <c r="Q173" s="208" t="str">
        <f t="shared" si="157"/>
        <v/>
      </c>
      <c r="R173" s="186" t="str">
        <f t="shared" si="158"/>
        <v/>
      </c>
      <c r="S173" s="302">
        <f t="shared" si="159"/>
        <v>0</v>
      </c>
      <c r="T173" s="302">
        <f t="shared" si="160"/>
        <v>0</v>
      </c>
      <c r="U173" s="302" t="str">
        <f t="shared" si="161"/>
        <v/>
      </c>
      <c r="AE173" s="27"/>
      <c r="AP173" s="1"/>
      <c r="AQ173" s="1"/>
      <c r="AR173" s="1"/>
      <c r="AS173" s="1"/>
      <c r="BF173" s="1"/>
      <c r="BG173" s="1"/>
    </row>
    <row r="174" spans="1:59" hidden="1" x14ac:dyDescent="0.2">
      <c r="C174" s="82">
        <v>14</v>
      </c>
      <c r="D174" s="1" t="s">
        <v>245</v>
      </c>
      <c r="E174" s="173">
        <f>Entrants!D157+COUNTIF(M$17:M$43,$D174)</f>
        <v>0</v>
      </c>
      <c r="F174" s="130">
        <f>Entrants!E157+COUNTIF(N$17:N$43,$D174)</f>
        <v>0</v>
      </c>
      <c r="G174" s="130">
        <f>Entrants!F157+COUNTIF(O$17:O$43,$D174)</f>
        <v>0</v>
      </c>
      <c r="H174" s="130">
        <f>Entrants!G157+COUNTIF(P$17:P$43,$D174)</f>
        <v>0</v>
      </c>
      <c r="I174" s="130"/>
      <c r="J174" s="130">
        <f>Entrants!I157+COUNTIF(Q$17:Q$43,$D174)</f>
        <v>0</v>
      </c>
      <c r="K174" s="130">
        <f>Entrants!J157+COUNTIF(R$17:R$43,$D174)</f>
        <v>0</v>
      </c>
      <c r="L174" s="174">
        <f>Entrants!K157+COUNTIF(T$17:T$43,$D174)</f>
        <v>0</v>
      </c>
      <c r="M174" s="190">
        <f t="shared" si="153"/>
        <v>0</v>
      </c>
      <c r="N174" s="190">
        <f t="shared" si="154"/>
        <v>0</v>
      </c>
      <c r="O174" s="189" t="str">
        <f t="shared" si="155"/>
        <v/>
      </c>
      <c r="P174" s="201">
        <f t="shared" si="156"/>
        <v>0</v>
      </c>
      <c r="Q174" s="208" t="str">
        <f t="shared" si="157"/>
        <v/>
      </c>
      <c r="R174" s="186" t="str">
        <f t="shared" si="158"/>
        <v/>
      </c>
      <c r="S174" s="302">
        <f t="shared" si="159"/>
        <v>0</v>
      </c>
      <c r="T174" s="302">
        <f t="shared" si="160"/>
        <v>0</v>
      </c>
      <c r="U174" s="302" t="str">
        <f t="shared" si="161"/>
        <v/>
      </c>
      <c r="AE174" s="27"/>
      <c r="AP174" s="1"/>
      <c r="AQ174" s="1"/>
      <c r="AR174" s="1"/>
      <c r="AS174" s="1"/>
      <c r="BF174" s="1"/>
      <c r="BG174" s="1"/>
    </row>
    <row r="175" spans="1:59" hidden="1" x14ac:dyDescent="0.2">
      <c r="C175" s="82">
        <v>15</v>
      </c>
      <c r="D175" s="1" t="s">
        <v>246</v>
      </c>
      <c r="E175" s="173">
        <f>Entrants!D158+COUNTIF(M$17:M$43,$D175)</f>
        <v>0</v>
      </c>
      <c r="F175" s="130">
        <f>Entrants!E158+COUNTIF(N$17:N$43,$D175)</f>
        <v>0</v>
      </c>
      <c r="G175" s="130">
        <f>Entrants!F158+COUNTIF(O$17:O$43,$D175)</f>
        <v>0</v>
      </c>
      <c r="H175" s="130">
        <f>Entrants!G158+COUNTIF(P$17:P$43,$D175)</f>
        <v>0</v>
      </c>
      <c r="I175" s="130"/>
      <c r="J175" s="130">
        <f>Entrants!I158+COUNTIF(Q$17:Q$43,$D175)</f>
        <v>0</v>
      </c>
      <c r="K175" s="130">
        <f>Entrants!J158+COUNTIF(R$17:R$43,$D175)</f>
        <v>0</v>
      </c>
      <c r="L175" s="174">
        <f>Entrants!K158+COUNTIF(T$17:T$43,$D175)</f>
        <v>0</v>
      </c>
      <c r="M175" s="190">
        <f t="shared" si="153"/>
        <v>0</v>
      </c>
      <c r="N175" s="190">
        <f t="shared" si="154"/>
        <v>0</v>
      </c>
      <c r="O175" s="189" t="str">
        <f t="shared" si="155"/>
        <v/>
      </c>
      <c r="P175" s="201">
        <f t="shared" si="156"/>
        <v>0</v>
      </c>
      <c r="Q175" s="208" t="str">
        <f t="shared" si="157"/>
        <v/>
      </c>
      <c r="R175" s="186" t="str">
        <f t="shared" si="158"/>
        <v/>
      </c>
      <c r="S175" s="302">
        <f t="shared" si="159"/>
        <v>0</v>
      </c>
      <c r="T175" s="302">
        <f t="shared" si="160"/>
        <v>0</v>
      </c>
      <c r="U175" s="302" t="str">
        <f t="shared" si="161"/>
        <v/>
      </c>
      <c r="AE175" s="27"/>
      <c r="AP175" s="1"/>
      <c r="AQ175" s="1"/>
      <c r="AR175" s="1"/>
      <c r="AS175" s="1"/>
      <c r="BF175" s="1"/>
      <c r="BG175" s="1"/>
    </row>
    <row r="176" spans="1:59" hidden="1" x14ac:dyDescent="0.2">
      <c r="C176" s="82">
        <v>16</v>
      </c>
      <c r="D176" s="1" t="s">
        <v>247</v>
      </c>
      <c r="E176" s="173">
        <f>Entrants!D159+COUNTIF(M$17:M$43,$D176)</f>
        <v>0</v>
      </c>
      <c r="F176" s="130">
        <f>Entrants!E159+COUNTIF(N$17:N$43,$D176)</f>
        <v>0</v>
      </c>
      <c r="G176" s="130">
        <f>Entrants!F159+COUNTIF(O$17:O$43,$D176)</f>
        <v>0</v>
      </c>
      <c r="H176" s="130">
        <f>Entrants!G159+COUNTIF(P$17:P$43,$D176)</f>
        <v>0</v>
      </c>
      <c r="I176" s="130"/>
      <c r="J176" s="130">
        <f>Entrants!I159+COUNTIF(Q$17:Q$43,$D176)</f>
        <v>0</v>
      </c>
      <c r="K176" s="130">
        <f>Entrants!J159+COUNTIF(R$17:R$43,$D176)</f>
        <v>0</v>
      </c>
      <c r="L176" s="174">
        <f>Entrants!K159+COUNTIF(T$17:T$43,$D176)</f>
        <v>0</v>
      </c>
      <c r="M176" s="190">
        <f t="shared" si="153"/>
        <v>0</v>
      </c>
      <c r="N176" s="190">
        <f t="shared" si="154"/>
        <v>0</v>
      </c>
      <c r="O176" s="189" t="str">
        <f t="shared" si="155"/>
        <v/>
      </c>
      <c r="P176" s="201">
        <f t="shared" si="156"/>
        <v>0</v>
      </c>
      <c r="Q176" s="208" t="str">
        <f t="shared" si="157"/>
        <v/>
      </c>
      <c r="R176" s="186" t="str">
        <f t="shared" si="158"/>
        <v/>
      </c>
      <c r="S176" s="302">
        <f t="shared" si="159"/>
        <v>0</v>
      </c>
      <c r="T176" s="302">
        <f t="shared" si="160"/>
        <v>0</v>
      </c>
      <c r="U176" s="302" t="str">
        <f t="shared" si="161"/>
        <v/>
      </c>
      <c r="AE176" s="27"/>
      <c r="AP176" s="1"/>
      <c r="AQ176" s="1"/>
      <c r="AR176" s="1"/>
      <c r="AS176" s="1"/>
      <c r="BF176" s="1"/>
      <c r="BG176" s="1"/>
    </row>
    <row r="177" spans="1:59" hidden="1" x14ac:dyDescent="0.2">
      <c r="C177" s="82">
        <v>17</v>
      </c>
      <c r="D177" s="1" t="s">
        <v>248</v>
      </c>
      <c r="E177" s="173">
        <f>Entrants!D160+COUNTIF(M$17:M$43,$D177)</f>
        <v>0</v>
      </c>
      <c r="F177" s="130">
        <f>Entrants!E160+COUNTIF(N$17:N$43,$D177)</f>
        <v>0</v>
      </c>
      <c r="G177" s="130">
        <f>Entrants!F160+COUNTIF(O$17:O$43,$D177)</f>
        <v>0</v>
      </c>
      <c r="H177" s="130">
        <f>Entrants!G160+COUNTIF(P$17:P$43,$D177)</f>
        <v>0</v>
      </c>
      <c r="I177" s="130"/>
      <c r="J177" s="130">
        <f>Entrants!I160+COUNTIF(Q$17:Q$43,$D177)</f>
        <v>0</v>
      </c>
      <c r="K177" s="130">
        <f>Entrants!J160+COUNTIF(R$17:R$43,$D177)</f>
        <v>0</v>
      </c>
      <c r="L177" s="174">
        <f>Entrants!K160+COUNTIF(T$17:T$43,$D177)</f>
        <v>0</v>
      </c>
      <c r="M177" s="190">
        <f t="shared" si="153"/>
        <v>0</v>
      </c>
      <c r="N177" s="190">
        <f t="shared" si="154"/>
        <v>0</v>
      </c>
      <c r="O177" s="189" t="str">
        <f t="shared" si="155"/>
        <v/>
      </c>
      <c r="P177" s="201">
        <f t="shared" si="156"/>
        <v>0</v>
      </c>
      <c r="Q177" s="208" t="str">
        <f t="shared" si="157"/>
        <v/>
      </c>
      <c r="R177" s="186" t="str">
        <f t="shared" si="158"/>
        <v/>
      </c>
      <c r="S177" s="302">
        <f t="shared" si="159"/>
        <v>0</v>
      </c>
      <c r="T177" s="302">
        <f t="shared" si="160"/>
        <v>0</v>
      </c>
      <c r="U177" s="302" t="str">
        <f t="shared" si="161"/>
        <v/>
      </c>
      <c r="AE177" s="27"/>
      <c r="AP177" s="1"/>
      <c r="AQ177" s="1"/>
      <c r="AR177" s="1"/>
      <c r="AS177" s="1"/>
      <c r="BF177" s="1"/>
      <c r="BG177" s="1"/>
    </row>
    <row r="178" spans="1:59" ht="13.5" hidden="1" thickBot="1" x14ac:dyDescent="0.25">
      <c r="A178" s="257"/>
      <c r="C178" s="82">
        <v>18</v>
      </c>
      <c r="D178" s="1" t="s">
        <v>249</v>
      </c>
      <c r="E178" s="173">
        <f>Entrants!D161+COUNTIF(M$17:M$43,$D178)</f>
        <v>0</v>
      </c>
      <c r="F178" s="130">
        <f>Entrants!E161+COUNTIF(N$17:N$43,$D178)</f>
        <v>0</v>
      </c>
      <c r="G178" s="130">
        <f>Entrants!F161+COUNTIF(O$17:O$43,$D178)</f>
        <v>0</v>
      </c>
      <c r="H178" s="130">
        <f>Entrants!G161+COUNTIF(P$17:P$43,$D178)</f>
        <v>0</v>
      </c>
      <c r="I178" s="130"/>
      <c r="J178" s="130">
        <f>Entrants!I161+COUNTIF(Q$17:Q$43,$D178)</f>
        <v>0</v>
      </c>
      <c r="K178" s="130">
        <f>Entrants!J161+COUNTIF(R$17:R$43,$D178)</f>
        <v>0</v>
      </c>
      <c r="L178" s="174">
        <f>Entrants!K161+COUNTIF(T$17:T$43,$D178)</f>
        <v>0</v>
      </c>
      <c r="M178" s="190">
        <f t="shared" si="153"/>
        <v>0</v>
      </c>
      <c r="N178" s="190">
        <f t="shared" si="154"/>
        <v>0</v>
      </c>
      <c r="O178" s="189" t="str">
        <f t="shared" si="155"/>
        <v/>
      </c>
      <c r="P178" s="201">
        <f t="shared" si="156"/>
        <v>0</v>
      </c>
      <c r="Q178" s="208" t="str">
        <f t="shared" si="157"/>
        <v/>
      </c>
      <c r="R178" s="186" t="str">
        <f t="shared" si="158"/>
        <v/>
      </c>
      <c r="S178" s="302">
        <f t="shared" si="159"/>
        <v>0</v>
      </c>
      <c r="T178" s="302">
        <f t="shared" si="160"/>
        <v>0</v>
      </c>
      <c r="U178" s="302" t="str">
        <f t="shared" si="161"/>
        <v/>
      </c>
      <c r="AE178" s="27"/>
      <c r="AP178" s="1"/>
      <c r="AQ178" s="1"/>
      <c r="AR178" s="1"/>
      <c r="AS178" s="1"/>
      <c r="BF178" s="1"/>
      <c r="BG178" s="1"/>
    </row>
    <row r="179" spans="1:59" ht="13.5" hidden="1" thickBot="1" x14ac:dyDescent="0.25">
      <c r="A179" s="257"/>
      <c r="N179" s="200">
        <f>SUM(N161:N178)</f>
        <v>0</v>
      </c>
      <c r="O179" s="189" t="str">
        <f>CONCATENATE(O161,O162,O163,O164,O165,O166,O167,O168,O169,O170,O171,O172,O173,O174,O175,O176,O177,O178,)</f>
        <v/>
      </c>
      <c r="P179" s="202">
        <f>SUM(P161:P178)</f>
        <v>0</v>
      </c>
      <c r="R179" s="187" t="str">
        <f>CONCATENATE(R161,R162,R163,R164,R165,R166,R167,R168,R169,R170,R171,R172,R173,R174,R175,R176,R177,R178,)</f>
        <v/>
      </c>
      <c r="S179" s="302"/>
      <c r="T179" s="302">
        <f>SUM(T161:T178)</f>
        <v>0</v>
      </c>
      <c r="U179" s="302" t="str">
        <f>IF(T179&gt;0,CONCATENATE(U161,U162,U163,U164,U165,U166,U167,U168,U169,U170,U171,U172,U173,U174,U175,U176,U177,U178),"")</f>
        <v/>
      </c>
      <c r="AE179" s="27"/>
      <c r="AP179" s="1"/>
      <c r="AQ179" s="1"/>
      <c r="AR179" s="1"/>
      <c r="AS179" s="1"/>
      <c r="BF179" s="1"/>
      <c r="BG179" s="1"/>
    </row>
    <row r="180" spans="1:59" hidden="1" x14ac:dyDescent="0.2">
      <c r="A180" s="257"/>
      <c r="AE180" s="27"/>
      <c r="AP180" s="1"/>
      <c r="AQ180" s="1"/>
      <c r="AR180" s="1"/>
      <c r="AS180" s="1"/>
      <c r="BF180" s="1"/>
      <c r="BG180" s="1"/>
    </row>
    <row r="181" spans="1:59" hidden="1" x14ac:dyDescent="0.2">
      <c r="A181" s="257"/>
      <c r="C181" s="134" t="s">
        <v>442</v>
      </c>
      <c r="AE181" s="27"/>
      <c r="AP181" s="1"/>
      <c r="AQ181" s="1"/>
      <c r="AR181" s="1"/>
      <c r="AS181" s="1"/>
      <c r="BF181" s="1"/>
      <c r="BG181" s="1"/>
    </row>
    <row r="182" spans="1:59" hidden="1" x14ac:dyDescent="0.2">
      <c r="A182" s="257"/>
      <c r="C182" s="297" t="s">
        <v>437</v>
      </c>
      <c r="D182" s="298" t="s">
        <v>12</v>
      </c>
      <c r="E182" s="298" t="s">
        <v>438</v>
      </c>
      <c r="F182" s="298" t="s">
        <v>432</v>
      </c>
      <c r="G182" s="298" t="s">
        <v>433</v>
      </c>
      <c r="H182" s="298" t="s">
        <v>439</v>
      </c>
      <c r="I182" s="298"/>
      <c r="J182" s="299" t="s">
        <v>435</v>
      </c>
      <c r="K182" s="194" t="s">
        <v>440</v>
      </c>
      <c r="N182" s="134" t="s">
        <v>442</v>
      </c>
      <c r="AE182" s="27"/>
      <c r="AP182" s="1"/>
      <c r="AQ182" s="1"/>
      <c r="AR182" s="1"/>
      <c r="AS182" s="1"/>
      <c r="BF182" s="1"/>
      <c r="BG182" s="1"/>
    </row>
    <row r="183" spans="1:59" hidden="1" x14ac:dyDescent="0.2">
      <c r="A183" s="291" t="s">
        <v>85</v>
      </c>
      <c r="B183" s="418"/>
      <c r="C183" s="195">
        <v>4</v>
      </c>
      <c r="D183" s="195">
        <v>4</v>
      </c>
      <c r="E183" s="195">
        <v>4</v>
      </c>
      <c r="F183" s="195">
        <v>4</v>
      </c>
      <c r="G183" s="195">
        <v>4</v>
      </c>
      <c r="H183" s="195">
        <v>2</v>
      </c>
      <c r="I183" s="195"/>
      <c r="J183" s="195">
        <v>3</v>
      </c>
      <c r="K183" s="195"/>
      <c r="N183" s="178" t="s">
        <v>437</v>
      </c>
      <c r="O183" s="179" t="s">
        <v>12</v>
      </c>
      <c r="P183" s="179" t="s">
        <v>438</v>
      </c>
      <c r="Q183" s="179" t="s">
        <v>432</v>
      </c>
      <c r="R183" s="179" t="s">
        <v>433</v>
      </c>
      <c r="S183" s="179" t="s">
        <v>439</v>
      </c>
      <c r="T183" s="172" t="s">
        <v>435</v>
      </c>
      <c r="U183" s="196" t="s">
        <v>440</v>
      </c>
      <c r="AE183" s="27"/>
      <c r="AP183" s="1"/>
      <c r="AQ183" s="1"/>
      <c r="AR183" s="1"/>
      <c r="AS183" s="1"/>
      <c r="BF183" s="1"/>
      <c r="BG183" s="1"/>
    </row>
    <row r="184" spans="1:59" hidden="1" x14ac:dyDescent="0.2">
      <c r="A184" s="257"/>
      <c r="C184" s="286" t="str">
        <f>IF(E161&gt;C$183,1,"")</f>
        <v/>
      </c>
      <c r="D184" s="287" t="str">
        <f t="shared" ref="D184:J199" si="162">IF(F161&gt;D$183,1,"")</f>
        <v/>
      </c>
      <c r="E184" s="287" t="str">
        <f t="shared" si="162"/>
        <v/>
      </c>
      <c r="F184" s="287" t="str">
        <f t="shared" si="162"/>
        <v/>
      </c>
      <c r="G184" s="287" t="str">
        <f t="shared" ref="G184:G201" si="163">IF(J161&gt;G$183,1,"")</f>
        <v/>
      </c>
      <c r="H184" s="287" t="str">
        <f t="shared" ref="H184:H201" si="164">IF(K161&gt;H$183,1,"")</f>
        <v/>
      </c>
      <c r="I184" s="287"/>
      <c r="J184" s="172" t="str">
        <f t="shared" si="162"/>
        <v/>
      </c>
      <c r="K184" s="288">
        <f>SUM(C184:J184)</f>
        <v>0</v>
      </c>
      <c r="N184" s="180" t="str">
        <f t="shared" ref="N184:S199" si="165">IF(C184=1,CONCATENATE("Too many shooters using Gun ",$C161," in ",C$182,"; "),"")</f>
        <v/>
      </c>
      <c r="O184" s="9" t="str">
        <f t="shared" si="165"/>
        <v/>
      </c>
      <c r="P184" s="9" t="str">
        <f t="shared" si="165"/>
        <v/>
      </c>
      <c r="Q184" s="9" t="str">
        <f t="shared" si="165"/>
        <v/>
      </c>
      <c r="R184" s="9" t="str">
        <f t="shared" si="165"/>
        <v/>
      </c>
      <c r="S184" s="9" t="str">
        <f t="shared" si="165"/>
        <v/>
      </c>
      <c r="T184" s="181" t="str">
        <f t="shared" ref="T184:T201" si="166">IF(J184=1,CONCATENATE("Too many shooters using Gun ",$C161," in ",J$182,"; "),"")</f>
        <v/>
      </c>
      <c r="U184" s="189" t="str">
        <f t="shared" ref="U184:U201" si="167">CONCATENATE(N184,O184,P184,Q184,R184,S184,T184,)</f>
        <v/>
      </c>
      <c r="AE184" s="27"/>
      <c r="AP184" s="1"/>
      <c r="AQ184" s="1"/>
      <c r="AR184" s="1"/>
      <c r="AS184" s="1"/>
      <c r="BF184" s="1"/>
      <c r="BG184" s="1"/>
    </row>
    <row r="185" spans="1:59" hidden="1" x14ac:dyDescent="0.2">
      <c r="A185" s="257"/>
      <c r="C185" s="173" t="str">
        <f t="shared" ref="C185:J201" si="168">IF(E162&gt;C$183,1,"")</f>
        <v/>
      </c>
      <c r="D185" s="130" t="str">
        <f t="shared" si="162"/>
        <v/>
      </c>
      <c r="E185" s="130" t="str">
        <f t="shared" si="162"/>
        <v/>
      </c>
      <c r="F185" s="130" t="str">
        <f t="shared" si="162"/>
        <v/>
      </c>
      <c r="G185" s="130" t="str">
        <f t="shared" si="163"/>
        <v/>
      </c>
      <c r="H185" s="130" t="str">
        <f t="shared" si="164"/>
        <v/>
      </c>
      <c r="I185" s="130"/>
      <c r="J185" s="174" t="str">
        <f t="shared" si="162"/>
        <v/>
      </c>
      <c r="K185" s="289">
        <f t="shared" ref="K185:K201" si="169">SUM(C185:J185)</f>
        <v>0</v>
      </c>
      <c r="N185" s="180" t="str">
        <f t="shared" si="165"/>
        <v/>
      </c>
      <c r="O185" s="9" t="str">
        <f t="shared" si="165"/>
        <v/>
      </c>
      <c r="P185" s="9" t="str">
        <f t="shared" si="165"/>
        <v/>
      </c>
      <c r="Q185" s="9" t="str">
        <f t="shared" si="165"/>
        <v/>
      </c>
      <c r="R185" s="9" t="str">
        <f t="shared" si="165"/>
        <v/>
      </c>
      <c r="S185" s="9" t="str">
        <f t="shared" si="165"/>
        <v/>
      </c>
      <c r="T185" s="181" t="str">
        <f t="shared" si="166"/>
        <v/>
      </c>
      <c r="U185" s="189" t="str">
        <f t="shared" si="167"/>
        <v/>
      </c>
      <c r="AE185" s="27"/>
      <c r="AP185" s="1"/>
      <c r="AQ185" s="1"/>
      <c r="AR185" s="1"/>
      <c r="AS185" s="1"/>
      <c r="BF185" s="1"/>
      <c r="BG185" s="1"/>
    </row>
    <row r="186" spans="1:59" hidden="1" x14ac:dyDescent="0.2">
      <c r="A186" s="257"/>
      <c r="C186" s="173" t="str">
        <f t="shared" si="168"/>
        <v/>
      </c>
      <c r="D186" s="130" t="str">
        <f t="shared" si="162"/>
        <v/>
      </c>
      <c r="E186" s="130" t="str">
        <f t="shared" si="162"/>
        <v/>
      </c>
      <c r="F186" s="130" t="str">
        <f t="shared" si="162"/>
        <v/>
      </c>
      <c r="G186" s="130" t="str">
        <f t="shared" si="163"/>
        <v/>
      </c>
      <c r="H186" s="130" t="str">
        <f t="shared" si="164"/>
        <v/>
      </c>
      <c r="I186" s="130"/>
      <c r="J186" s="174" t="str">
        <f t="shared" si="162"/>
        <v/>
      </c>
      <c r="K186" s="289">
        <f t="shared" si="169"/>
        <v>0</v>
      </c>
      <c r="N186" s="180" t="str">
        <f t="shared" si="165"/>
        <v/>
      </c>
      <c r="O186" s="9" t="str">
        <f t="shared" si="165"/>
        <v/>
      </c>
      <c r="P186" s="9" t="str">
        <f t="shared" si="165"/>
        <v/>
      </c>
      <c r="Q186" s="9" t="str">
        <f t="shared" si="165"/>
        <v/>
      </c>
      <c r="R186" s="9" t="str">
        <f t="shared" si="165"/>
        <v/>
      </c>
      <c r="S186" s="9" t="str">
        <f t="shared" si="165"/>
        <v/>
      </c>
      <c r="T186" s="181" t="str">
        <f t="shared" si="166"/>
        <v/>
      </c>
      <c r="U186" s="189" t="str">
        <f t="shared" si="167"/>
        <v/>
      </c>
      <c r="AE186" s="27"/>
      <c r="AP186" s="1"/>
      <c r="AQ186" s="1"/>
      <c r="AR186" s="1"/>
      <c r="AS186" s="1"/>
      <c r="BF186" s="1"/>
      <c r="BG186" s="1"/>
    </row>
    <row r="187" spans="1:59" hidden="1" x14ac:dyDescent="0.2">
      <c r="A187" s="257"/>
      <c r="C187" s="173" t="str">
        <f t="shared" si="168"/>
        <v/>
      </c>
      <c r="D187" s="130" t="str">
        <f t="shared" si="162"/>
        <v/>
      </c>
      <c r="E187" s="130" t="str">
        <f t="shared" si="162"/>
        <v/>
      </c>
      <c r="F187" s="130" t="str">
        <f t="shared" si="162"/>
        <v/>
      </c>
      <c r="G187" s="130" t="str">
        <f t="shared" si="163"/>
        <v/>
      </c>
      <c r="H187" s="130" t="str">
        <f t="shared" si="164"/>
        <v/>
      </c>
      <c r="I187" s="130"/>
      <c r="J187" s="174" t="str">
        <f t="shared" si="162"/>
        <v/>
      </c>
      <c r="K187" s="289">
        <f t="shared" si="169"/>
        <v>0</v>
      </c>
      <c r="N187" s="180" t="str">
        <f t="shared" si="165"/>
        <v/>
      </c>
      <c r="O187" s="9" t="str">
        <f t="shared" si="165"/>
        <v/>
      </c>
      <c r="P187" s="9" t="str">
        <f t="shared" si="165"/>
        <v/>
      </c>
      <c r="Q187" s="9" t="str">
        <f t="shared" si="165"/>
        <v/>
      </c>
      <c r="R187" s="9" t="str">
        <f t="shared" si="165"/>
        <v/>
      </c>
      <c r="S187" s="9" t="str">
        <f t="shared" si="165"/>
        <v/>
      </c>
      <c r="T187" s="181" t="str">
        <f t="shared" si="166"/>
        <v/>
      </c>
      <c r="U187" s="189" t="str">
        <f t="shared" si="167"/>
        <v/>
      </c>
      <c r="AE187" s="27"/>
      <c r="AP187" s="1"/>
      <c r="AQ187" s="1"/>
      <c r="AR187" s="1"/>
      <c r="AS187" s="1"/>
      <c r="BF187" s="1"/>
      <c r="BG187" s="1"/>
    </row>
    <row r="188" spans="1:59" hidden="1" x14ac:dyDescent="0.2">
      <c r="A188" s="257"/>
      <c r="C188" s="173" t="str">
        <f t="shared" si="168"/>
        <v/>
      </c>
      <c r="D188" s="130" t="str">
        <f t="shared" si="162"/>
        <v/>
      </c>
      <c r="E188" s="130" t="str">
        <f t="shared" si="162"/>
        <v/>
      </c>
      <c r="F188" s="130" t="str">
        <f t="shared" si="162"/>
        <v/>
      </c>
      <c r="G188" s="130" t="str">
        <f t="shared" si="163"/>
        <v/>
      </c>
      <c r="H188" s="130" t="str">
        <f t="shared" si="164"/>
        <v/>
      </c>
      <c r="I188" s="130"/>
      <c r="J188" s="174" t="str">
        <f t="shared" si="162"/>
        <v/>
      </c>
      <c r="K188" s="289">
        <f t="shared" si="169"/>
        <v>0</v>
      </c>
      <c r="N188" s="180" t="str">
        <f t="shared" si="165"/>
        <v/>
      </c>
      <c r="O188" s="9" t="str">
        <f t="shared" si="165"/>
        <v/>
      </c>
      <c r="P188" s="9" t="str">
        <f t="shared" si="165"/>
        <v/>
      </c>
      <c r="Q188" s="9" t="str">
        <f t="shared" si="165"/>
        <v/>
      </c>
      <c r="R188" s="9" t="str">
        <f t="shared" si="165"/>
        <v/>
      </c>
      <c r="S188" s="9" t="str">
        <f t="shared" si="165"/>
        <v/>
      </c>
      <c r="T188" s="181" t="str">
        <f t="shared" si="166"/>
        <v/>
      </c>
      <c r="U188" s="189" t="str">
        <f t="shared" si="167"/>
        <v/>
      </c>
      <c r="AE188" s="27"/>
      <c r="AP188" s="1"/>
      <c r="AQ188" s="1"/>
      <c r="AR188" s="1"/>
      <c r="AS188" s="1"/>
      <c r="BF188" s="1"/>
      <c r="BG188" s="1"/>
    </row>
    <row r="189" spans="1:59" hidden="1" x14ac:dyDescent="0.2">
      <c r="A189" s="257"/>
      <c r="C189" s="173" t="str">
        <f t="shared" si="168"/>
        <v/>
      </c>
      <c r="D189" s="130" t="str">
        <f t="shared" si="162"/>
        <v/>
      </c>
      <c r="E189" s="130" t="str">
        <f t="shared" si="162"/>
        <v/>
      </c>
      <c r="F189" s="130" t="str">
        <f t="shared" si="162"/>
        <v/>
      </c>
      <c r="G189" s="130" t="str">
        <f t="shared" si="163"/>
        <v/>
      </c>
      <c r="H189" s="130" t="str">
        <f t="shared" si="164"/>
        <v/>
      </c>
      <c r="I189" s="130"/>
      <c r="J189" s="174" t="str">
        <f t="shared" si="162"/>
        <v/>
      </c>
      <c r="K189" s="289">
        <f t="shared" si="169"/>
        <v>0</v>
      </c>
      <c r="N189" s="180" t="str">
        <f t="shared" si="165"/>
        <v/>
      </c>
      <c r="O189" s="9" t="str">
        <f t="shared" si="165"/>
        <v/>
      </c>
      <c r="P189" s="9" t="str">
        <f t="shared" si="165"/>
        <v/>
      </c>
      <c r="Q189" s="9" t="str">
        <f t="shared" si="165"/>
        <v/>
      </c>
      <c r="R189" s="9" t="str">
        <f t="shared" si="165"/>
        <v/>
      </c>
      <c r="S189" s="9" t="str">
        <f t="shared" si="165"/>
        <v/>
      </c>
      <c r="T189" s="181" t="str">
        <f t="shared" si="166"/>
        <v/>
      </c>
      <c r="U189" s="189" t="str">
        <f t="shared" si="167"/>
        <v/>
      </c>
      <c r="AE189" s="27"/>
      <c r="AP189" s="1"/>
      <c r="AQ189" s="1"/>
      <c r="AR189" s="1"/>
      <c r="AS189" s="1"/>
      <c r="BF189" s="1"/>
      <c r="BG189" s="1"/>
    </row>
    <row r="190" spans="1:59" hidden="1" x14ac:dyDescent="0.2">
      <c r="A190" s="257"/>
      <c r="C190" s="173" t="str">
        <f t="shared" si="168"/>
        <v/>
      </c>
      <c r="D190" s="130" t="str">
        <f t="shared" si="162"/>
        <v/>
      </c>
      <c r="E190" s="130" t="str">
        <f t="shared" si="162"/>
        <v/>
      </c>
      <c r="F190" s="130" t="str">
        <f t="shared" si="162"/>
        <v/>
      </c>
      <c r="G190" s="130" t="str">
        <f t="shared" si="163"/>
        <v/>
      </c>
      <c r="H190" s="130" t="str">
        <f t="shared" si="164"/>
        <v/>
      </c>
      <c r="I190" s="130"/>
      <c r="J190" s="174" t="str">
        <f t="shared" si="162"/>
        <v/>
      </c>
      <c r="K190" s="289">
        <f t="shared" si="169"/>
        <v>0</v>
      </c>
      <c r="N190" s="180" t="str">
        <f t="shared" si="165"/>
        <v/>
      </c>
      <c r="O190" s="9" t="str">
        <f t="shared" si="165"/>
        <v/>
      </c>
      <c r="P190" s="9" t="str">
        <f t="shared" si="165"/>
        <v/>
      </c>
      <c r="Q190" s="9" t="str">
        <f t="shared" si="165"/>
        <v/>
      </c>
      <c r="R190" s="9" t="str">
        <f t="shared" si="165"/>
        <v/>
      </c>
      <c r="S190" s="9" t="str">
        <f t="shared" si="165"/>
        <v/>
      </c>
      <c r="T190" s="181" t="str">
        <f t="shared" si="166"/>
        <v/>
      </c>
      <c r="U190" s="189" t="str">
        <f t="shared" si="167"/>
        <v/>
      </c>
      <c r="AE190" s="27"/>
      <c r="AP190" s="1"/>
      <c r="AQ190" s="1"/>
      <c r="AR190" s="1"/>
      <c r="AS190" s="1"/>
      <c r="BF190" s="1"/>
      <c r="BG190" s="1"/>
    </row>
    <row r="191" spans="1:59" hidden="1" x14ac:dyDescent="0.2">
      <c r="A191" s="257"/>
      <c r="C191" s="173" t="str">
        <f t="shared" si="168"/>
        <v/>
      </c>
      <c r="D191" s="130" t="str">
        <f t="shared" si="162"/>
        <v/>
      </c>
      <c r="E191" s="130" t="str">
        <f t="shared" si="162"/>
        <v/>
      </c>
      <c r="F191" s="130" t="str">
        <f t="shared" si="162"/>
        <v/>
      </c>
      <c r="G191" s="130" t="str">
        <f t="shared" si="163"/>
        <v/>
      </c>
      <c r="H191" s="130" t="str">
        <f t="shared" si="164"/>
        <v/>
      </c>
      <c r="I191" s="130"/>
      <c r="J191" s="174" t="str">
        <f t="shared" si="162"/>
        <v/>
      </c>
      <c r="K191" s="289">
        <f t="shared" si="169"/>
        <v>0</v>
      </c>
      <c r="N191" s="180" t="str">
        <f t="shared" si="165"/>
        <v/>
      </c>
      <c r="O191" s="9" t="str">
        <f t="shared" si="165"/>
        <v/>
      </c>
      <c r="P191" s="9" t="str">
        <f t="shared" si="165"/>
        <v/>
      </c>
      <c r="Q191" s="9" t="str">
        <f t="shared" si="165"/>
        <v/>
      </c>
      <c r="R191" s="9" t="str">
        <f t="shared" si="165"/>
        <v/>
      </c>
      <c r="S191" s="9" t="str">
        <f t="shared" si="165"/>
        <v/>
      </c>
      <c r="T191" s="181" t="str">
        <f t="shared" si="166"/>
        <v/>
      </c>
      <c r="U191" s="189" t="str">
        <f t="shared" si="167"/>
        <v/>
      </c>
      <c r="AE191" s="27"/>
      <c r="AP191" s="1"/>
      <c r="AQ191" s="1"/>
      <c r="AR191" s="1"/>
      <c r="AS191" s="1"/>
      <c r="BF191" s="1"/>
      <c r="BG191" s="1"/>
    </row>
    <row r="192" spans="1:59" hidden="1" x14ac:dyDescent="0.2">
      <c r="A192" s="257"/>
      <c r="C192" s="173" t="str">
        <f t="shared" si="168"/>
        <v/>
      </c>
      <c r="D192" s="130" t="str">
        <f t="shared" si="162"/>
        <v/>
      </c>
      <c r="E192" s="130" t="str">
        <f t="shared" si="162"/>
        <v/>
      </c>
      <c r="F192" s="130" t="str">
        <f t="shared" si="162"/>
        <v/>
      </c>
      <c r="G192" s="130" t="str">
        <f t="shared" si="163"/>
        <v/>
      </c>
      <c r="H192" s="130" t="str">
        <f t="shared" si="164"/>
        <v/>
      </c>
      <c r="I192" s="130"/>
      <c r="J192" s="174" t="str">
        <f t="shared" si="162"/>
        <v/>
      </c>
      <c r="K192" s="289">
        <f t="shared" si="169"/>
        <v>0</v>
      </c>
      <c r="N192" s="180" t="str">
        <f t="shared" si="165"/>
        <v/>
      </c>
      <c r="O192" s="9" t="str">
        <f t="shared" si="165"/>
        <v/>
      </c>
      <c r="P192" s="9" t="str">
        <f t="shared" si="165"/>
        <v/>
      </c>
      <c r="Q192" s="9" t="str">
        <f t="shared" si="165"/>
        <v/>
      </c>
      <c r="R192" s="9" t="str">
        <f t="shared" si="165"/>
        <v/>
      </c>
      <c r="S192" s="9" t="str">
        <f t="shared" si="165"/>
        <v/>
      </c>
      <c r="T192" s="181" t="str">
        <f t="shared" si="166"/>
        <v/>
      </c>
      <c r="U192" s="189" t="str">
        <f t="shared" si="167"/>
        <v/>
      </c>
      <c r="AE192" s="27"/>
      <c r="AP192" s="1"/>
      <c r="AQ192" s="1"/>
      <c r="AR192" s="1"/>
      <c r="AS192" s="1"/>
      <c r="BF192" s="1"/>
      <c r="BG192" s="1"/>
    </row>
    <row r="193" spans="1:59" hidden="1" x14ac:dyDescent="0.2">
      <c r="A193" s="257"/>
      <c r="C193" s="173" t="str">
        <f t="shared" si="168"/>
        <v/>
      </c>
      <c r="D193" s="130" t="str">
        <f t="shared" si="162"/>
        <v/>
      </c>
      <c r="E193" s="130" t="str">
        <f t="shared" si="162"/>
        <v/>
      </c>
      <c r="F193" s="130" t="str">
        <f t="shared" si="162"/>
        <v/>
      </c>
      <c r="G193" s="130" t="str">
        <f t="shared" si="163"/>
        <v/>
      </c>
      <c r="H193" s="130" t="str">
        <f t="shared" si="164"/>
        <v/>
      </c>
      <c r="I193" s="130"/>
      <c r="J193" s="174" t="str">
        <f t="shared" si="162"/>
        <v/>
      </c>
      <c r="K193" s="289">
        <f t="shared" si="169"/>
        <v>0</v>
      </c>
      <c r="N193" s="180" t="str">
        <f t="shared" si="165"/>
        <v/>
      </c>
      <c r="O193" s="9" t="str">
        <f t="shared" si="165"/>
        <v/>
      </c>
      <c r="P193" s="9" t="str">
        <f t="shared" si="165"/>
        <v/>
      </c>
      <c r="Q193" s="9" t="str">
        <f t="shared" si="165"/>
        <v/>
      </c>
      <c r="R193" s="9" t="str">
        <f t="shared" si="165"/>
        <v/>
      </c>
      <c r="S193" s="9" t="str">
        <f t="shared" si="165"/>
        <v/>
      </c>
      <c r="T193" s="181" t="str">
        <f t="shared" si="166"/>
        <v/>
      </c>
      <c r="U193" s="189" t="str">
        <f t="shared" si="167"/>
        <v/>
      </c>
      <c r="AE193" s="27"/>
      <c r="AP193" s="1"/>
      <c r="AQ193" s="1"/>
      <c r="AR193" s="1"/>
      <c r="AS193" s="1"/>
      <c r="BF193" s="1"/>
      <c r="BG193" s="1"/>
    </row>
    <row r="194" spans="1:59" hidden="1" x14ac:dyDescent="0.2">
      <c r="C194" s="173" t="str">
        <f t="shared" si="168"/>
        <v/>
      </c>
      <c r="D194" s="130" t="str">
        <f t="shared" si="162"/>
        <v/>
      </c>
      <c r="E194" s="130" t="str">
        <f t="shared" si="162"/>
        <v/>
      </c>
      <c r="F194" s="130" t="str">
        <f t="shared" si="162"/>
        <v/>
      </c>
      <c r="G194" s="130" t="str">
        <f t="shared" si="163"/>
        <v/>
      </c>
      <c r="H194" s="130" t="str">
        <f t="shared" si="164"/>
        <v/>
      </c>
      <c r="I194" s="130"/>
      <c r="J194" s="174" t="str">
        <f t="shared" si="162"/>
        <v/>
      </c>
      <c r="K194" s="289">
        <f t="shared" si="169"/>
        <v>0</v>
      </c>
      <c r="N194" s="180" t="str">
        <f t="shared" si="165"/>
        <v/>
      </c>
      <c r="O194" s="9" t="str">
        <f t="shared" si="165"/>
        <v/>
      </c>
      <c r="P194" s="9" t="str">
        <f t="shared" si="165"/>
        <v/>
      </c>
      <c r="Q194" s="9" t="str">
        <f t="shared" si="165"/>
        <v/>
      </c>
      <c r="R194" s="9" t="str">
        <f t="shared" si="165"/>
        <v/>
      </c>
      <c r="S194" s="9" t="str">
        <f t="shared" si="165"/>
        <v/>
      </c>
      <c r="T194" s="181" t="str">
        <f t="shared" si="166"/>
        <v/>
      </c>
      <c r="U194" s="189" t="str">
        <f t="shared" si="167"/>
        <v/>
      </c>
      <c r="AE194" s="27"/>
      <c r="AP194" s="1"/>
      <c r="AQ194" s="1"/>
      <c r="AR194" s="1"/>
      <c r="AS194" s="1"/>
      <c r="BF194" s="1"/>
      <c r="BG194" s="1"/>
    </row>
    <row r="195" spans="1:59" hidden="1" x14ac:dyDescent="0.2">
      <c r="C195" s="173" t="str">
        <f t="shared" si="168"/>
        <v/>
      </c>
      <c r="D195" s="130" t="str">
        <f t="shared" si="162"/>
        <v/>
      </c>
      <c r="E195" s="130" t="str">
        <f t="shared" si="162"/>
        <v/>
      </c>
      <c r="F195" s="130" t="str">
        <f t="shared" si="162"/>
        <v/>
      </c>
      <c r="G195" s="130" t="str">
        <f t="shared" si="163"/>
        <v/>
      </c>
      <c r="H195" s="130" t="str">
        <f t="shared" si="164"/>
        <v/>
      </c>
      <c r="I195" s="130"/>
      <c r="J195" s="174" t="str">
        <f t="shared" si="162"/>
        <v/>
      </c>
      <c r="K195" s="289">
        <f t="shared" si="169"/>
        <v>0</v>
      </c>
      <c r="N195" s="180" t="str">
        <f t="shared" si="165"/>
        <v/>
      </c>
      <c r="O195" s="9" t="str">
        <f t="shared" si="165"/>
        <v/>
      </c>
      <c r="P195" s="9" t="str">
        <f t="shared" si="165"/>
        <v/>
      </c>
      <c r="Q195" s="9" t="str">
        <f t="shared" si="165"/>
        <v/>
      </c>
      <c r="R195" s="9" t="str">
        <f t="shared" si="165"/>
        <v/>
      </c>
      <c r="S195" s="9" t="str">
        <f t="shared" si="165"/>
        <v/>
      </c>
      <c r="T195" s="181" t="str">
        <f t="shared" si="166"/>
        <v/>
      </c>
      <c r="U195" s="189" t="str">
        <f t="shared" si="167"/>
        <v/>
      </c>
      <c r="AE195" s="27"/>
      <c r="AP195" s="1"/>
      <c r="AQ195" s="1"/>
      <c r="AR195" s="1"/>
      <c r="AS195" s="1"/>
      <c r="BF195" s="1"/>
      <c r="BG195" s="1"/>
    </row>
    <row r="196" spans="1:59" hidden="1" x14ac:dyDescent="0.2">
      <c r="C196" s="173" t="str">
        <f t="shared" si="168"/>
        <v/>
      </c>
      <c r="D196" s="130" t="str">
        <f t="shared" si="162"/>
        <v/>
      </c>
      <c r="E196" s="130" t="str">
        <f t="shared" si="162"/>
        <v/>
      </c>
      <c r="F196" s="130" t="str">
        <f t="shared" si="162"/>
        <v/>
      </c>
      <c r="G196" s="130" t="str">
        <f t="shared" si="163"/>
        <v/>
      </c>
      <c r="H196" s="130" t="str">
        <f t="shared" si="164"/>
        <v/>
      </c>
      <c r="I196" s="130"/>
      <c r="J196" s="174" t="str">
        <f t="shared" si="162"/>
        <v/>
      </c>
      <c r="K196" s="289">
        <f t="shared" si="169"/>
        <v>0</v>
      </c>
      <c r="N196" s="180" t="str">
        <f t="shared" si="165"/>
        <v/>
      </c>
      <c r="O196" s="9" t="str">
        <f t="shared" si="165"/>
        <v/>
      </c>
      <c r="P196" s="9" t="str">
        <f t="shared" si="165"/>
        <v/>
      </c>
      <c r="Q196" s="9" t="str">
        <f t="shared" si="165"/>
        <v/>
      </c>
      <c r="R196" s="9" t="str">
        <f t="shared" si="165"/>
        <v/>
      </c>
      <c r="S196" s="9" t="str">
        <f t="shared" si="165"/>
        <v/>
      </c>
      <c r="T196" s="181" t="str">
        <f t="shared" si="166"/>
        <v/>
      </c>
      <c r="U196" s="189" t="str">
        <f t="shared" si="167"/>
        <v/>
      </c>
      <c r="AE196" s="27"/>
      <c r="AP196" s="1"/>
      <c r="AQ196" s="1"/>
      <c r="AR196" s="1"/>
      <c r="AS196" s="1"/>
      <c r="BF196" s="1"/>
      <c r="BG196" s="1"/>
    </row>
    <row r="197" spans="1:59" hidden="1" x14ac:dyDescent="0.2">
      <c r="C197" s="173" t="str">
        <f t="shared" si="168"/>
        <v/>
      </c>
      <c r="D197" s="130" t="str">
        <f t="shared" si="162"/>
        <v/>
      </c>
      <c r="E197" s="130" t="str">
        <f t="shared" si="162"/>
        <v/>
      </c>
      <c r="F197" s="130" t="str">
        <f t="shared" si="162"/>
        <v/>
      </c>
      <c r="G197" s="130" t="str">
        <f t="shared" si="163"/>
        <v/>
      </c>
      <c r="H197" s="130" t="str">
        <f t="shared" si="164"/>
        <v/>
      </c>
      <c r="I197" s="130"/>
      <c r="J197" s="174" t="str">
        <f t="shared" si="162"/>
        <v/>
      </c>
      <c r="K197" s="289">
        <f t="shared" si="169"/>
        <v>0</v>
      </c>
      <c r="N197" s="180" t="str">
        <f t="shared" si="165"/>
        <v/>
      </c>
      <c r="O197" s="9" t="str">
        <f t="shared" si="165"/>
        <v/>
      </c>
      <c r="P197" s="9" t="str">
        <f t="shared" si="165"/>
        <v/>
      </c>
      <c r="Q197" s="9" t="str">
        <f t="shared" si="165"/>
        <v/>
      </c>
      <c r="R197" s="9" t="str">
        <f t="shared" si="165"/>
        <v/>
      </c>
      <c r="S197" s="9" t="str">
        <f t="shared" si="165"/>
        <v/>
      </c>
      <c r="T197" s="181" t="str">
        <f t="shared" si="166"/>
        <v/>
      </c>
      <c r="U197" s="189" t="str">
        <f t="shared" si="167"/>
        <v/>
      </c>
      <c r="AE197" s="27"/>
      <c r="AP197" s="1"/>
      <c r="AQ197" s="1"/>
      <c r="AR197" s="1"/>
      <c r="AS197" s="1"/>
      <c r="BF197" s="1"/>
      <c r="BG197" s="1"/>
    </row>
    <row r="198" spans="1:59" hidden="1" x14ac:dyDescent="0.2">
      <c r="C198" s="173" t="str">
        <f t="shared" si="168"/>
        <v/>
      </c>
      <c r="D198" s="130" t="str">
        <f t="shared" si="162"/>
        <v/>
      </c>
      <c r="E198" s="130" t="str">
        <f t="shared" si="162"/>
        <v/>
      </c>
      <c r="F198" s="130" t="str">
        <f t="shared" si="162"/>
        <v/>
      </c>
      <c r="G198" s="130" t="str">
        <f t="shared" si="163"/>
        <v/>
      </c>
      <c r="H198" s="130" t="str">
        <f t="shared" si="164"/>
        <v/>
      </c>
      <c r="I198" s="130"/>
      <c r="J198" s="174" t="str">
        <f t="shared" si="162"/>
        <v/>
      </c>
      <c r="K198" s="289">
        <f t="shared" si="169"/>
        <v>0</v>
      </c>
      <c r="N198" s="180" t="str">
        <f t="shared" si="165"/>
        <v/>
      </c>
      <c r="O198" s="9" t="str">
        <f t="shared" si="165"/>
        <v/>
      </c>
      <c r="P198" s="9" t="str">
        <f t="shared" si="165"/>
        <v/>
      </c>
      <c r="Q198" s="9" t="str">
        <f t="shared" si="165"/>
        <v/>
      </c>
      <c r="R198" s="9" t="str">
        <f t="shared" si="165"/>
        <v/>
      </c>
      <c r="S198" s="9" t="str">
        <f t="shared" si="165"/>
        <v/>
      </c>
      <c r="T198" s="181" t="str">
        <f t="shared" si="166"/>
        <v/>
      </c>
      <c r="U198" s="189" t="str">
        <f t="shared" si="167"/>
        <v/>
      </c>
      <c r="AE198" s="27"/>
      <c r="AP198" s="1"/>
      <c r="AQ198" s="1"/>
      <c r="AR198" s="1"/>
      <c r="AS198" s="1"/>
      <c r="BF198" s="1"/>
      <c r="BG198" s="1"/>
    </row>
    <row r="199" spans="1:59" hidden="1" x14ac:dyDescent="0.2">
      <c r="C199" s="173" t="str">
        <f t="shared" si="168"/>
        <v/>
      </c>
      <c r="D199" s="130" t="str">
        <f t="shared" si="162"/>
        <v/>
      </c>
      <c r="E199" s="130" t="str">
        <f t="shared" si="162"/>
        <v/>
      </c>
      <c r="F199" s="130" t="str">
        <f t="shared" si="162"/>
        <v/>
      </c>
      <c r="G199" s="130" t="str">
        <f t="shared" si="163"/>
        <v/>
      </c>
      <c r="H199" s="130" t="str">
        <f t="shared" si="164"/>
        <v/>
      </c>
      <c r="I199" s="130"/>
      <c r="J199" s="174" t="str">
        <f t="shared" si="162"/>
        <v/>
      </c>
      <c r="K199" s="289">
        <f t="shared" si="169"/>
        <v>0</v>
      </c>
      <c r="N199" s="180" t="str">
        <f t="shared" si="165"/>
        <v/>
      </c>
      <c r="O199" s="9" t="str">
        <f t="shared" si="165"/>
        <v/>
      </c>
      <c r="P199" s="9" t="str">
        <f t="shared" si="165"/>
        <v/>
      </c>
      <c r="Q199" s="9" t="str">
        <f t="shared" si="165"/>
        <v/>
      </c>
      <c r="R199" s="9" t="str">
        <f t="shared" si="165"/>
        <v/>
      </c>
      <c r="S199" s="9" t="str">
        <f t="shared" si="165"/>
        <v/>
      </c>
      <c r="T199" s="181" t="str">
        <f t="shared" si="166"/>
        <v/>
      </c>
      <c r="U199" s="189" t="str">
        <f t="shared" si="167"/>
        <v/>
      </c>
      <c r="AE199" s="27"/>
      <c r="AP199" s="1"/>
      <c r="AQ199" s="1"/>
      <c r="AR199" s="1"/>
      <c r="AS199" s="1"/>
      <c r="BF199" s="1"/>
      <c r="BG199" s="1"/>
    </row>
    <row r="200" spans="1:59" hidden="1" x14ac:dyDescent="0.2">
      <c r="C200" s="173" t="str">
        <f t="shared" si="168"/>
        <v/>
      </c>
      <c r="D200" s="130" t="str">
        <f t="shared" si="168"/>
        <v/>
      </c>
      <c r="E200" s="130" t="str">
        <f t="shared" si="168"/>
        <v/>
      </c>
      <c r="F200" s="130" t="str">
        <f t="shared" si="168"/>
        <v/>
      </c>
      <c r="G200" s="130" t="str">
        <f t="shared" si="163"/>
        <v/>
      </c>
      <c r="H200" s="130" t="str">
        <f t="shared" si="164"/>
        <v/>
      </c>
      <c r="I200" s="130"/>
      <c r="J200" s="174" t="str">
        <f t="shared" si="168"/>
        <v/>
      </c>
      <c r="K200" s="289">
        <f t="shared" si="169"/>
        <v>0</v>
      </c>
      <c r="N200" s="180" t="str">
        <f t="shared" ref="N200:S201" si="170">IF(C200=1,CONCATENATE("Too many shooters using Gun ",$C177," in ",C$182,"; "),"")</f>
        <v/>
      </c>
      <c r="O200" s="9" t="str">
        <f t="shared" si="170"/>
        <v/>
      </c>
      <c r="P200" s="9" t="str">
        <f t="shared" si="170"/>
        <v/>
      </c>
      <c r="Q200" s="9" t="str">
        <f t="shared" si="170"/>
        <v/>
      </c>
      <c r="R200" s="9" t="str">
        <f t="shared" si="170"/>
        <v/>
      </c>
      <c r="S200" s="9" t="str">
        <f t="shared" si="170"/>
        <v/>
      </c>
      <c r="T200" s="181" t="str">
        <f t="shared" si="166"/>
        <v/>
      </c>
      <c r="U200" s="189" t="str">
        <f t="shared" si="167"/>
        <v/>
      </c>
      <c r="AE200" s="27"/>
      <c r="AP200" s="1"/>
      <c r="AQ200" s="1"/>
      <c r="AR200" s="1"/>
      <c r="AS200" s="1"/>
      <c r="BF200" s="1"/>
      <c r="BG200" s="1"/>
    </row>
    <row r="201" spans="1:59" hidden="1" x14ac:dyDescent="0.2">
      <c r="C201" s="175" t="str">
        <f t="shared" si="168"/>
        <v/>
      </c>
      <c r="D201" s="176" t="str">
        <f t="shared" si="168"/>
        <v/>
      </c>
      <c r="E201" s="176" t="str">
        <f t="shared" si="168"/>
        <v/>
      </c>
      <c r="F201" s="176" t="str">
        <f t="shared" si="168"/>
        <v/>
      </c>
      <c r="G201" s="176" t="str">
        <f t="shared" si="163"/>
        <v/>
      </c>
      <c r="H201" s="176" t="str">
        <f t="shared" si="164"/>
        <v/>
      </c>
      <c r="I201" s="176"/>
      <c r="J201" s="177" t="str">
        <f t="shared" si="168"/>
        <v/>
      </c>
      <c r="K201" s="290">
        <f t="shared" si="169"/>
        <v>0</v>
      </c>
      <c r="N201" s="182" t="str">
        <f t="shared" si="170"/>
        <v/>
      </c>
      <c r="O201" s="183" t="str">
        <f t="shared" si="170"/>
        <v/>
      </c>
      <c r="P201" s="183" t="str">
        <f t="shared" si="170"/>
        <v/>
      </c>
      <c r="Q201" s="183" t="str">
        <f t="shared" si="170"/>
        <v/>
      </c>
      <c r="R201" s="183" t="str">
        <f t="shared" si="170"/>
        <v/>
      </c>
      <c r="S201" s="183" t="str">
        <f t="shared" si="170"/>
        <v/>
      </c>
      <c r="T201" s="184" t="str">
        <f t="shared" si="166"/>
        <v/>
      </c>
      <c r="U201" s="189" t="str">
        <f t="shared" si="167"/>
        <v/>
      </c>
      <c r="AE201" s="27"/>
      <c r="AP201" s="1"/>
      <c r="AQ201" s="1"/>
      <c r="AR201" s="1"/>
      <c r="AS201" s="1"/>
      <c r="BF201" s="1"/>
      <c r="BG201" s="1"/>
    </row>
    <row r="202" spans="1:59" ht="13.5" hidden="1" thickBot="1" x14ac:dyDescent="0.25">
      <c r="K202" s="285">
        <f>SUM(K184:K201)</f>
        <v>0</v>
      </c>
      <c r="AE202" s="27"/>
      <c r="AP202" s="1"/>
      <c r="AQ202" s="1"/>
      <c r="AR202" s="1"/>
      <c r="AS202" s="1"/>
      <c r="BF202" s="1"/>
      <c r="BG202" s="1"/>
    </row>
    <row r="203" spans="1:59" hidden="1" x14ac:dyDescent="0.2">
      <c r="T203" s="185" t="s">
        <v>441</v>
      </c>
      <c r="U203" s="189" t="str">
        <f>CONCATENATE(U184,U185,U186,U187,U188,U189,U190,U191,U192,U193,U194,U195,U196,U197,U198,U199,U200,U201,)</f>
        <v/>
      </c>
      <c r="AE203" s="27"/>
      <c r="AP203" s="1"/>
      <c r="AQ203" s="1"/>
      <c r="AR203" s="1"/>
      <c r="AS203" s="1"/>
      <c r="BF203" s="1"/>
      <c r="BG203" s="1"/>
    </row>
    <row r="204" spans="1:59" hidden="1" x14ac:dyDescent="0.2">
      <c r="C204" s="226" t="s">
        <v>458</v>
      </c>
      <c r="D204" s="227"/>
      <c r="E204" s="227"/>
      <c r="F204" s="227"/>
      <c r="G204" s="228"/>
      <c r="AE204" s="27"/>
      <c r="AP204" s="1"/>
      <c r="AQ204" s="1"/>
      <c r="AR204" s="1"/>
      <c r="AS204" s="1"/>
      <c r="BF204" s="1"/>
      <c r="BG204" s="1"/>
    </row>
    <row r="205" spans="1:59" hidden="1" x14ac:dyDescent="0.2">
      <c r="C205" s="229" t="s">
        <v>436</v>
      </c>
      <c r="D205" s="9"/>
      <c r="E205" s="9"/>
      <c r="F205" s="179" t="s">
        <v>12</v>
      </c>
      <c r="G205" s="181"/>
      <c r="AE205" s="27"/>
      <c r="AP205" s="1"/>
      <c r="AQ205" s="1"/>
      <c r="AR205" s="1"/>
      <c r="AS205" s="1"/>
      <c r="BF205" s="1"/>
      <c r="BG205" s="1"/>
    </row>
    <row r="206" spans="1:59" hidden="1" x14ac:dyDescent="0.2">
      <c r="C206" s="229">
        <v>1</v>
      </c>
      <c r="D206" s="9"/>
      <c r="E206" s="9"/>
      <c r="F206" s="190" t="str">
        <f t="shared" ref="F206:F223" si="171">IF(AND(F161&gt;0,(SUM(E161,G161:K161)&gt;0)),1,"")</f>
        <v/>
      </c>
      <c r="G206" s="230" t="str">
        <f>IF(F206=1,CONCATENATE(" Gun ",$C206," identified both as Pistol and Rifle! "),"")</f>
        <v/>
      </c>
      <c r="AE206" s="27"/>
      <c r="AP206" s="1"/>
      <c r="AQ206" s="1"/>
      <c r="AR206" s="1"/>
      <c r="AS206" s="1"/>
      <c r="BF206" s="1"/>
      <c r="BG206" s="1"/>
    </row>
    <row r="207" spans="1:59" hidden="1" x14ac:dyDescent="0.2">
      <c r="C207" s="229">
        <v>2</v>
      </c>
      <c r="D207" s="9"/>
      <c r="E207" s="9"/>
      <c r="F207" s="190" t="str">
        <f t="shared" si="171"/>
        <v/>
      </c>
      <c r="G207" s="230" t="str">
        <f t="shared" ref="G207:G222" si="172">IF(F207=1,CONCATENATE(" Gun ",$C207," identified both as Pistol and Rifle! "),"")</f>
        <v/>
      </c>
      <c r="AE207" s="27"/>
      <c r="AP207" s="1"/>
      <c r="AQ207" s="1"/>
      <c r="AR207" s="1"/>
      <c r="AS207" s="1"/>
      <c r="BF207" s="1"/>
      <c r="BG207" s="1"/>
    </row>
    <row r="208" spans="1:59" hidden="1" x14ac:dyDescent="0.2">
      <c r="C208" s="229">
        <v>3</v>
      </c>
      <c r="D208" s="9"/>
      <c r="E208" s="9"/>
      <c r="F208" s="190" t="str">
        <f t="shared" si="171"/>
        <v/>
      </c>
      <c r="G208" s="230" t="str">
        <f t="shared" si="172"/>
        <v/>
      </c>
      <c r="AE208" s="27"/>
      <c r="AP208" s="1"/>
      <c r="AQ208" s="1"/>
      <c r="AR208" s="1"/>
      <c r="AS208" s="1"/>
      <c r="BF208" s="1"/>
      <c r="BG208" s="1"/>
    </row>
    <row r="209" spans="3:59" hidden="1" x14ac:dyDescent="0.2">
      <c r="C209" s="229">
        <v>4</v>
      </c>
      <c r="D209" s="9"/>
      <c r="E209" s="9"/>
      <c r="F209" s="190" t="str">
        <f t="shared" si="171"/>
        <v/>
      </c>
      <c r="G209" s="230" t="str">
        <f t="shared" si="172"/>
        <v/>
      </c>
      <c r="AE209" s="27"/>
      <c r="AP209" s="1"/>
      <c r="AQ209" s="1"/>
      <c r="AR209" s="1"/>
      <c r="AS209" s="1"/>
      <c r="BF209" s="1"/>
      <c r="BG209" s="1"/>
    </row>
    <row r="210" spans="3:59" hidden="1" x14ac:dyDescent="0.2">
      <c r="C210" s="229">
        <v>5</v>
      </c>
      <c r="D210" s="9"/>
      <c r="E210" s="9"/>
      <c r="F210" s="190" t="str">
        <f t="shared" si="171"/>
        <v/>
      </c>
      <c r="G210" s="230" t="str">
        <f t="shared" si="172"/>
        <v/>
      </c>
      <c r="AE210" s="27"/>
      <c r="AP210" s="1"/>
      <c r="AQ210" s="1"/>
      <c r="AR210" s="1"/>
      <c r="AS210" s="1"/>
      <c r="BF210" s="1"/>
      <c r="BG210" s="1"/>
    </row>
    <row r="211" spans="3:59" hidden="1" x14ac:dyDescent="0.2">
      <c r="C211" s="229">
        <v>6</v>
      </c>
      <c r="D211" s="9"/>
      <c r="E211" s="9"/>
      <c r="F211" s="190" t="str">
        <f t="shared" si="171"/>
        <v/>
      </c>
      <c r="G211" s="230" t="str">
        <f t="shared" si="172"/>
        <v/>
      </c>
      <c r="AE211" s="27"/>
      <c r="AP211" s="1"/>
      <c r="AQ211" s="1"/>
      <c r="AR211" s="1"/>
      <c r="AS211" s="1"/>
      <c r="BF211" s="1"/>
      <c r="BG211" s="1"/>
    </row>
    <row r="212" spans="3:59" hidden="1" x14ac:dyDescent="0.2">
      <c r="C212" s="229">
        <v>7</v>
      </c>
      <c r="D212" s="9"/>
      <c r="E212" s="9"/>
      <c r="F212" s="190" t="str">
        <f t="shared" si="171"/>
        <v/>
      </c>
      <c r="G212" s="230" t="str">
        <f t="shared" si="172"/>
        <v/>
      </c>
      <c r="AE212" s="27"/>
      <c r="AP212" s="1"/>
      <c r="AQ212" s="1"/>
      <c r="AR212" s="1"/>
      <c r="AS212" s="1"/>
      <c r="BF212" s="1"/>
      <c r="BG212" s="1"/>
    </row>
    <row r="213" spans="3:59" hidden="1" x14ac:dyDescent="0.2">
      <c r="C213" s="229">
        <v>8</v>
      </c>
      <c r="D213" s="9"/>
      <c r="E213" s="9"/>
      <c r="F213" s="190" t="str">
        <f t="shared" si="171"/>
        <v/>
      </c>
      <c r="G213" s="230" t="str">
        <f t="shared" si="172"/>
        <v/>
      </c>
      <c r="AE213" s="27"/>
      <c r="AP213" s="1"/>
      <c r="AQ213" s="1"/>
      <c r="AR213" s="1"/>
      <c r="AS213" s="1"/>
      <c r="BF213" s="1"/>
      <c r="BG213" s="1"/>
    </row>
    <row r="214" spans="3:59" hidden="1" x14ac:dyDescent="0.2">
      <c r="C214" s="229">
        <v>9</v>
      </c>
      <c r="D214" s="9"/>
      <c r="E214" s="9"/>
      <c r="F214" s="190" t="str">
        <f t="shared" si="171"/>
        <v/>
      </c>
      <c r="G214" s="230" t="str">
        <f t="shared" si="172"/>
        <v/>
      </c>
      <c r="AE214" s="27"/>
      <c r="AP214" s="1"/>
      <c r="AQ214" s="1"/>
      <c r="AR214" s="1"/>
      <c r="AS214" s="1"/>
      <c r="BF214" s="1"/>
      <c r="BG214" s="1"/>
    </row>
    <row r="215" spans="3:59" hidden="1" x14ac:dyDescent="0.2">
      <c r="C215" s="229">
        <v>10</v>
      </c>
      <c r="D215" s="9"/>
      <c r="E215" s="9"/>
      <c r="F215" s="190" t="str">
        <f t="shared" si="171"/>
        <v/>
      </c>
      <c r="G215" s="230" t="str">
        <f t="shared" si="172"/>
        <v/>
      </c>
      <c r="AE215" s="27"/>
      <c r="AP215" s="1"/>
      <c r="AQ215" s="1"/>
      <c r="AR215" s="1"/>
      <c r="AS215" s="1"/>
      <c r="BF215" s="1"/>
      <c r="BG215" s="1"/>
    </row>
    <row r="216" spans="3:59" hidden="1" x14ac:dyDescent="0.2">
      <c r="C216" s="229">
        <v>11</v>
      </c>
      <c r="D216" s="9"/>
      <c r="E216" s="9"/>
      <c r="F216" s="190" t="str">
        <f t="shared" si="171"/>
        <v/>
      </c>
      <c r="G216" s="230" t="str">
        <f t="shared" si="172"/>
        <v/>
      </c>
      <c r="AE216" s="27"/>
      <c r="AP216" s="1"/>
      <c r="AQ216" s="1"/>
      <c r="AR216" s="1"/>
      <c r="AS216" s="1"/>
      <c r="BF216" s="1"/>
      <c r="BG216" s="1"/>
    </row>
    <row r="217" spans="3:59" hidden="1" x14ac:dyDescent="0.2">
      <c r="C217" s="229">
        <v>12</v>
      </c>
      <c r="D217" s="9"/>
      <c r="E217" s="9"/>
      <c r="F217" s="190" t="str">
        <f t="shared" si="171"/>
        <v/>
      </c>
      <c r="G217" s="230" t="str">
        <f t="shared" si="172"/>
        <v/>
      </c>
      <c r="AE217" s="27"/>
      <c r="AP217" s="1"/>
      <c r="AQ217" s="1"/>
      <c r="AR217" s="1"/>
      <c r="AS217" s="1"/>
      <c r="BF217" s="1"/>
      <c r="BG217" s="1"/>
    </row>
    <row r="218" spans="3:59" hidden="1" x14ac:dyDescent="0.2">
      <c r="C218" s="229">
        <v>13</v>
      </c>
      <c r="D218" s="9"/>
      <c r="E218" s="9"/>
      <c r="F218" s="190" t="str">
        <f t="shared" si="171"/>
        <v/>
      </c>
      <c r="G218" s="230" t="str">
        <f t="shared" si="172"/>
        <v/>
      </c>
      <c r="AE218" s="27"/>
      <c r="AP218" s="1"/>
      <c r="AQ218" s="1"/>
      <c r="AR218" s="1"/>
      <c r="AS218" s="1"/>
      <c r="BF218" s="1"/>
      <c r="BG218" s="1"/>
    </row>
    <row r="219" spans="3:59" hidden="1" x14ac:dyDescent="0.2">
      <c r="C219" s="229">
        <v>14</v>
      </c>
      <c r="D219" s="9"/>
      <c r="E219" s="9"/>
      <c r="F219" s="190" t="str">
        <f t="shared" si="171"/>
        <v/>
      </c>
      <c r="G219" s="230" t="str">
        <f t="shared" si="172"/>
        <v/>
      </c>
      <c r="AE219" s="27"/>
      <c r="AP219" s="1"/>
      <c r="AQ219" s="1"/>
      <c r="AR219" s="1"/>
      <c r="AS219" s="1"/>
      <c r="BF219" s="1"/>
      <c r="BG219" s="1"/>
    </row>
    <row r="220" spans="3:59" hidden="1" x14ac:dyDescent="0.2">
      <c r="C220" s="229">
        <v>15</v>
      </c>
      <c r="D220" s="9"/>
      <c r="E220" s="9"/>
      <c r="F220" s="190" t="str">
        <f t="shared" si="171"/>
        <v/>
      </c>
      <c r="G220" s="230" t="str">
        <f t="shared" si="172"/>
        <v/>
      </c>
      <c r="AE220" s="27"/>
      <c r="AP220" s="1"/>
      <c r="AQ220" s="1"/>
      <c r="AR220" s="1"/>
      <c r="AS220" s="1"/>
      <c r="BF220" s="1"/>
      <c r="BG220" s="1"/>
    </row>
    <row r="221" spans="3:59" hidden="1" x14ac:dyDescent="0.2">
      <c r="C221" s="229">
        <v>16</v>
      </c>
      <c r="D221" s="9"/>
      <c r="E221" s="9"/>
      <c r="F221" s="190" t="str">
        <f t="shared" si="171"/>
        <v/>
      </c>
      <c r="G221" s="230" t="str">
        <f t="shared" si="172"/>
        <v/>
      </c>
      <c r="AE221" s="27"/>
      <c r="AP221" s="1"/>
      <c r="AQ221" s="1"/>
      <c r="AR221" s="1"/>
      <c r="AS221" s="1"/>
      <c r="BF221" s="1"/>
      <c r="BG221" s="1"/>
    </row>
    <row r="222" spans="3:59" hidden="1" x14ac:dyDescent="0.2">
      <c r="C222" s="229">
        <v>17</v>
      </c>
      <c r="D222" s="9"/>
      <c r="E222" s="9"/>
      <c r="F222" s="190" t="str">
        <f t="shared" si="171"/>
        <v/>
      </c>
      <c r="G222" s="230" t="str">
        <f t="shared" si="172"/>
        <v/>
      </c>
      <c r="AE222" s="27"/>
      <c r="AP222" s="1"/>
      <c r="AQ222" s="1"/>
      <c r="AR222" s="1"/>
      <c r="AS222" s="1"/>
      <c r="BF222" s="1"/>
      <c r="BG222" s="1"/>
    </row>
    <row r="223" spans="3:59" ht="13.5" hidden="1" thickBot="1" x14ac:dyDescent="0.25">
      <c r="C223" s="229">
        <v>18</v>
      </c>
      <c r="D223" s="9"/>
      <c r="E223" s="9"/>
      <c r="F223" s="190" t="str">
        <f t="shared" si="171"/>
        <v/>
      </c>
      <c r="G223" s="230" t="str">
        <f>IF(F223=1,CONCATENATE(" Gun ",$C223," identified both as Pistol and Rifle! "),"")</f>
        <v/>
      </c>
      <c r="AE223" s="27"/>
      <c r="AP223" s="1"/>
      <c r="AQ223" s="1"/>
      <c r="AR223" s="1"/>
      <c r="AS223" s="1"/>
      <c r="BF223" s="1"/>
      <c r="BG223" s="1"/>
    </row>
    <row r="224" spans="3:59" hidden="1" x14ac:dyDescent="0.2">
      <c r="C224" s="182"/>
      <c r="D224" s="183"/>
      <c r="E224" s="183"/>
      <c r="F224" s="231">
        <f>SUM(F206:F223)</f>
        <v>0</v>
      </c>
      <c r="G224" s="232" t="str">
        <f>CONCATENATE(G206,G207,G208,G209,G210,G211,G212,G213,G214,G215,G216,G217,G218,G219,G220,G221,G222,G223,)</f>
        <v/>
      </c>
      <c r="AE224" s="27"/>
      <c r="AP224" s="1"/>
      <c r="AQ224" s="1"/>
      <c r="AR224" s="1"/>
      <c r="AS224" s="1"/>
      <c r="BF224" s="1"/>
      <c r="BG224" s="1"/>
    </row>
    <row r="225" spans="3:59" hidden="1" x14ac:dyDescent="0.2">
      <c r="AE225" s="27"/>
      <c r="AP225" s="1"/>
      <c r="AQ225" s="1"/>
      <c r="AR225" s="1"/>
      <c r="AS225" s="1"/>
      <c r="BF225" s="1"/>
      <c r="BG225" s="1"/>
    </row>
    <row r="226" spans="3:59" hidden="1" x14ac:dyDescent="0.2">
      <c r="C226" s="226" t="s">
        <v>446</v>
      </c>
      <c r="D226" s="227"/>
      <c r="E226" s="227"/>
      <c r="F226" s="227"/>
      <c r="G226" s="227"/>
      <c r="H226" s="227"/>
      <c r="I226" s="227"/>
      <c r="J226" s="227"/>
      <c r="K226" s="228"/>
      <c r="AE226" s="27"/>
      <c r="AP226" s="1"/>
      <c r="AQ226" s="1"/>
      <c r="AR226" s="1"/>
      <c r="AS226" s="1"/>
      <c r="BF226" s="1"/>
      <c r="BG226" s="1"/>
    </row>
    <row r="227" spans="3:59" hidden="1" x14ac:dyDescent="0.2">
      <c r="C227" s="229" t="s">
        <v>436</v>
      </c>
      <c r="D227" s="179" t="s">
        <v>438</v>
      </c>
      <c r="E227" s="197" t="s">
        <v>431</v>
      </c>
      <c r="F227" s="198" t="s">
        <v>432</v>
      </c>
      <c r="G227" s="198" t="s">
        <v>433</v>
      </c>
      <c r="H227" s="198" t="s">
        <v>434</v>
      </c>
      <c r="I227" s="198"/>
      <c r="J227" s="199" t="s">
        <v>435</v>
      </c>
      <c r="K227" s="181"/>
      <c r="AE227" s="27"/>
      <c r="AP227" s="1"/>
      <c r="AQ227" s="1"/>
      <c r="AR227" s="1"/>
      <c r="AS227" s="1"/>
      <c r="BF227" s="1"/>
      <c r="BG227" s="1"/>
    </row>
    <row r="228" spans="3:59" hidden="1" x14ac:dyDescent="0.2">
      <c r="C228" s="229">
        <v>1</v>
      </c>
      <c r="D228" s="233" t="str">
        <f t="shared" ref="D228:D245" si="173">IF(AND(G161&gt;0,(SUM(E161,H161:K161)&gt;0)),1,"")</f>
        <v/>
      </c>
      <c r="E228" s="187" t="str">
        <f t="shared" ref="E228:E245" si="174">IF(AND($D228=1,E161&gt;0),CONCATENATE(E$160,"; "),"")</f>
        <v/>
      </c>
      <c r="F228" s="187" t="str">
        <f t="shared" ref="F228:F245" si="175">IF(AND($D228=1,H161&gt;0),CONCATENATE(H$160,"; "),"")</f>
        <v/>
      </c>
      <c r="G228" s="187" t="str">
        <f t="shared" ref="G228:H245" si="176">IF(AND($D228=1,J161&gt;0),CONCATENATE(J$160,"; "),"")</f>
        <v/>
      </c>
      <c r="H228" s="187" t="str">
        <f t="shared" si="176"/>
        <v/>
      </c>
      <c r="I228" s="187"/>
      <c r="J228" s="187" t="str">
        <f t="shared" ref="J228:J245" si="177">IF(AND($D228=1,L161&gt;0),CONCATENATE(L$160,"; "),"")</f>
        <v/>
      </c>
      <c r="K228" s="234" t="str">
        <f t="shared" ref="K228:K245" si="178">IF(D228=1,CONCATENATE("Vintage Rifle Gun ",$C206," also used in ",CONCATENATE(E228,F228,G228,H228,J228)),"")</f>
        <v/>
      </c>
      <c r="AE228" s="27"/>
      <c r="AP228" s="1"/>
      <c r="AQ228" s="1"/>
      <c r="AR228" s="1"/>
      <c r="AS228" s="1"/>
      <c r="BF228" s="1"/>
      <c r="BG228" s="1"/>
    </row>
    <row r="229" spans="3:59" hidden="1" x14ac:dyDescent="0.2">
      <c r="C229" s="229">
        <v>2</v>
      </c>
      <c r="D229" s="233" t="str">
        <f t="shared" si="173"/>
        <v/>
      </c>
      <c r="E229" s="187" t="str">
        <f t="shared" si="174"/>
        <v/>
      </c>
      <c r="F229" s="187" t="str">
        <f t="shared" si="175"/>
        <v/>
      </c>
      <c r="G229" s="187" t="str">
        <f t="shared" si="176"/>
        <v/>
      </c>
      <c r="H229" s="187" t="str">
        <f t="shared" si="176"/>
        <v/>
      </c>
      <c r="I229" s="187"/>
      <c r="J229" s="187" t="str">
        <f t="shared" si="177"/>
        <v/>
      </c>
      <c r="K229" s="234" t="str">
        <f t="shared" si="178"/>
        <v/>
      </c>
      <c r="AE229" s="27"/>
      <c r="AP229" s="1"/>
      <c r="AQ229" s="1"/>
      <c r="AR229" s="1"/>
      <c r="AS229" s="1"/>
      <c r="BF229" s="1"/>
      <c r="BG229" s="1"/>
    </row>
    <row r="230" spans="3:59" hidden="1" x14ac:dyDescent="0.2">
      <c r="C230" s="229">
        <v>3</v>
      </c>
      <c r="D230" s="233" t="str">
        <f t="shared" si="173"/>
        <v/>
      </c>
      <c r="E230" s="187" t="str">
        <f t="shared" si="174"/>
        <v/>
      </c>
      <c r="F230" s="187" t="str">
        <f t="shared" si="175"/>
        <v/>
      </c>
      <c r="G230" s="187" t="str">
        <f t="shared" si="176"/>
        <v/>
      </c>
      <c r="H230" s="187" t="str">
        <f t="shared" si="176"/>
        <v/>
      </c>
      <c r="I230" s="187"/>
      <c r="J230" s="187" t="str">
        <f t="shared" si="177"/>
        <v/>
      </c>
      <c r="K230" s="234" t="str">
        <f t="shared" si="178"/>
        <v/>
      </c>
      <c r="AE230" s="27"/>
      <c r="AP230" s="1"/>
      <c r="AQ230" s="1"/>
      <c r="AR230" s="1"/>
      <c r="AS230" s="1"/>
      <c r="BF230" s="1"/>
      <c r="BG230" s="1"/>
    </row>
    <row r="231" spans="3:59" hidden="1" x14ac:dyDescent="0.2">
      <c r="C231" s="229">
        <v>4</v>
      </c>
      <c r="D231" s="233" t="str">
        <f t="shared" si="173"/>
        <v/>
      </c>
      <c r="E231" s="187" t="str">
        <f t="shared" si="174"/>
        <v/>
      </c>
      <c r="F231" s="187" t="str">
        <f t="shared" si="175"/>
        <v/>
      </c>
      <c r="G231" s="187" t="str">
        <f t="shared" si="176"/>
        <v/>
      </c>
      <c r="H231" s="187" t="str">
        <f t="shared" si="176"/>
        <v/>
      </c>
      <c r="I231" s="187"/>
      <c r="J231" s="187" t="str">
        <f t="shared" si="177"/>
        <v/>
      </c>
      <c r="K231" s="234" t="str">
        <f t="shared" si="178"/>
        <v/>
      </c>
      <c r="AE231" s="27"/>
      <c r="AP231" s="1"/>
      <c r="AQ231" s="1"/>
      <c r="AR231" s="1"/>
      <c r="AS231" s="1"/>
      <c r="BF231" s="1"/>
      <c r="BG231" s="1"/>
    </row>
    <row r="232" spans="3:59" hidden="1" x14ac:dyDescent="0.2">
      <c r="C232" s="229">
        <v>5</v>
      </c>
      <c r="D232" s="233" t="str">
        <f t="shared" si="173"/>
        <v/>
      </c>
      <c r="E232" s="187" t="str">
        <f t="shared" si="174"/>
        <v/>
      </c>
      <c r="F232" s="187" t="str">
        <f t="shared" si="175"/>
        <v/>
      </c>
      <c r="G232" s="187" t="str">
        <f t="shared" si="176"/>
        <v/>
      </c>
      <c r="H232" s="187" t="str">
        <f t="shared" si="176"/>
        <v/>
      </c>
      <c r="I232" s="187"/>
      <c r="J232" s="187" t="str">
        <f t="shared" si="177"/>
        <v/>
      </c>
      <c r="K232" s="234" t="str">
        <f t="shared" si="178"/>
        <v/>
      </c>
      <c r="AE232" s="27"/>
      <c r="AP232" s="1"/>
      <c r="AQ232" s="1"/>
      <c r="AR232" s="1"/>
      <c r="AS232" s="1"/>
      <c r="BF232" s="1"/>
      <c r="BG232" s="1"/>
    </row>
    <row r="233" spans="3:59" hidden="1" x14ac:dyDescent="0.2">
      <c r="C233" s="229">
        <v>6</v>
      </c>
      <c r="D233" s="233" t="str">
        <f t="shared" si="173"/>
        <v/>
      </c>
      <c r="E233" s="187" t="str">
        <f t="shared" si="174"/>
        <v/>
      </c>
      <c r="F233" s="187" t="str">
        <f t="shared" si="175"/>
        <v/>
      </c>
      <c r="G233" s="187" t="str">
        <f t="shared" si="176"/>
        <v/>
      </c>
      <c r="H233" s="187" t="str">
        <f t="shared" si="176"/>
        <v/>
      </c>
      <c r="I233" s="187"/>
      <c r="J233" s="187" t="str">
        <f t="shared" si="177"/>
        <v/>
      </c>
      <c r="K233" s="234" t="str">
        <f t="shared" si="178"/>
        <v/>
      </c>
      <c r="AE233" s="27"/>
      <c r="AP233" s="1"/>
      <c r="AQ233" s="1"/>
      <c r="AR233" s="1"/>
      <c r="AS233" s="1"/>
      <c r="BF233" s="1"/>
      <c r="BG233" s="1"/>
    </row>
    <row r="234" spans="3:59" hidden="1" x14ac:dyDescent="0.2">
      <c r="C234" s="229">
        <v>7</v>
      </c>
      <c r="D234" s="233" t="str">
        <f t="shared" si="173"/>
        <v/>
      </c>
      <c r="E234" s="187" t="str">
        <f t="shared" si="174"/>
        <v/>
      </c>
      <c r="F234" s="187" t="str">
        <f t="shared" si="175"/>
        <v/>
      </c>
      <c r="G234" s="187" t="str">
        <f t="shared" si="176"/>
        <v/>
      </c>
      <c r="H234" s="187" t="str">
        <f t="shared" si="176"/>
        <v/>
      </c>
      <c r="I234" s="187"/>
      <c r="J234" s="187" t="str">
        <f t="shared" si="177"/>
        <v/>
      </c>
      <c r="K234" s="234" t="str">
        <f t="shared" si="178"/>
        <v/>
      </c>
      <c r="AE234" s="27"/>
      <c r="AP234" s="1"/>
      <c r="AQ234" s="1"/>
      <c r="AR234" s="1"/>
      <c r="AS234" s="1"/>
      <c r="BF234" s="1"/>
      <c r="BG234" s="1"/>
    </row>
    <row r="235" spans="3:59" hidden="1" x14ac:dyDescent="0.2">
      <c r="C235" s="229">
        <v>8</v>
      </c>
      <c r="D235" s="233" t="str">
        <f t="shared" si="173"/>
        <v/>
      </c>
      <c r="E235" s="187" t="str">
        <f t="shared" si="174"/>
        <v/>
      </c>
      <c r="F235" s="187" t="str">
        <f t="shared" si="175"/>
        <v/>
      </c>
      <c r="G235" s="187" t="str">
        <f t="shared" si="176"/>
        <v/>
      </c>
      <c r="H235" s="187" t="str">
        <f t="shared" si="176"/>
        <v/>
      </c>
      <c r="I235" s="187"/>
      <c r="J235" s="187" t="str">
        <f t="shared" si="177"/>
        <v/>
      </c>
      <c r="K235" s="234" t="str">
        <f t="shared" si="178"/>
        <v/>
      </c>
      <c r="AE235" s="27"/>
      <c r="AP235" s="1"/>
      <c r="AQ235" s="1"/>
      <c r="AR235" s="1"/>
      <c r="AS235" s="1"/>
      <c r="BF235" s="1"/>
      <c r="BG235" s="1"/>
    </row>
    <row r="236" spans="3:59" hidden="1" x14ac:dyDescent="0.2">
      <c r="C236" s="229">
        <v>9</v>
      </c>
      <c r="D236" s="233" t="str">
        <f t="shared" si="173"/>
        <v/>
      </c>
      <c r="E236" s="187" t="str">
        <f t="shared" si="174"/>
        <v/>
      </c>
      <c r="F236" s="187" t="str">
        <f t="shared" si="175"/>
        <v/>
      </c>
      <c r="G236" s="187" t="str">
        <f t="shared" si="176"/>
        <v/>
      </c>
      <c r="H236" s="187" t="str">
        <f t="shared" si="176"/>
        <v/>
      </c>
      <c r="I236" s="187"/>
      <c r="J236" s="187" t="str">
        <f t="shared" si="177"/>
        <v/>
      </c>
      <c r="K236" s="234" t="str">
        <f t="shared" si="178"/>
        <v/>
      </c>
      <c r="AE236" s="27"/>
      <c r="AP236" s="1"/>
      <c r="AQ236" s="1"/>
      <c r="AR236" s="1"/>
      <c r="AS236" s="1"/>
      <c r="BF236" s="1"/>
      <c r="BG236" s="1"/>
    </row>
    <row r="237" spans="3:59" hidden="1" x14ac:dyDescent="0.2">
      <c r="C237" s="229">
        <v>10</v>
      </c>
      <c r="D237" s="233" t="str">
        <f t="shared" si="173"/>
        <v/>
      </c>
      <c r="E237" s="187" t="str">
        <f t="shared" si="174"/>
        <v/>
      </c>
      <c r="F237" s="187" t="str">
        <f t="shared" si="175"/>
        <v/>
      </c>
      <c r="G237" s="187" t="str">
        <f t="shared" si="176"/>
        <v/>
      </c>
      <c r="H237" s="187" t="str">
        <f t="shared" si="176"/>
        <v/>
      </c>
      <c r="I237" s="187"/>
      <c r="J237" s="187" t="str">
        <f t="shared" si="177"/>
        <v/>
      </c>
      <c r="K237" s="234" t="str">
        <f t="shared" si="178"/>
        <v/>
      </c>
      <c r="AE237" s="27"/>
      <c r="AP237" s="1"/>
      <c r="AQ237" s="1"/>
      <c r="AR237" s="1"/>
      <c r="AS237" s="1"/>
      <c r="BF237" s="1"/>
      <c r="BG237" s="1"/>
    </row>
    <row r="238" spans="3:59" hidden="1" x14ac:dyDescent="0.2">
      <c r="C238" s="229">
        <v>11</v>
      </c>
      <c r="D238" s="233" t="str">
        <f t="shared" si="173"/>
        <v/>
      </c>
      <c r="E238" s="187" t="str">
        <f t="shared" si="174"/>
        <v/>
      </c>
      <c r="F238" s="187" t="str">
        <f t="shared" si="175"/>
        <v/>
      </c>
      <c r="G238" s="187" t="str">
        <f t="shared" si="176"/>
        <v/>
      </c>
      <c r="H238" s="187" t="str">
        <f t="shared" si="176"/>
        <v/>
      </c>
      <c r="I238" s="187"/>
      <c r="J238" s="187" t="str">
        <f t="shared" si="177"/>
        <v/>
      </c>
      <c r="K238" s="234" t="str">
        <f t="shared" si="178"/>
        <v/>
      </c>
      <c r="AE238" s="27"/>
      <c r="AP238" s="1"/>
      <c r="AQ238" s="1"/>
      <c r="AR238" s="1"/>
      <c r="AS238" s="1"/>
      <c r="BF238" s="1"/>
      <c r="BG238" s="1"/>
    </row>
    <row r="239" spans="3:59" hidden="1" x14ac:dyDescent="0.2">
      <c r="C239" s="229">
        <v>12</v>
      </c>
      <c r="D239" s="233" t="str">
        <f t="shared" si="173"/>
        <v/>
      </c>
      <c r="E239" s="187" t="str">
        <f t="shared" si="174"/>
        <v/>
      </c>
      <c r="F239" s="187" t="str">
        <f t="shared" si="175"/>
        <v/>
      </c>
      <c r="G239" s="187" t="str">
        <f t="shared" si="176"/>
        <v/>
      </c>
      <c r="H239" s="187" t="str">
        <f t="shared" si="176"/>
        <v/>
      </c>
      <c r="I239" s="187"/>
      <c r="J239" s="187" t="str">
        <f t="shared" si="177"/>
        <v/>
      </c>
      <c r="K239" s="234" t="str">
        <f t="shared" si="178"/>
        <v/>
      </c>
      <c r="AE239" s="27"/>
      <c r="AP239" s="1"/>
      <c r="AQ239" s="1"/>
      <c r="AR239" s="1"/>
      <c r="AS239" s="1"/>
      <c r="BF239" s="1"/>
      <c r="BG239" s="1"/>
    </row>
    <row r="240" spans="3:59" hidden="1" x14ac:dyDescent="0.2">
      <c r="C240" s="229">
        <v>13</v>
      </c>
      <c r="D240" s="233" t="str">
        <f t="shared" si="173"/>
        <v/>
      </c>
      <c r="E240" s="187" t="str">
        <f t="shared" si="174"/>
        <v/>
      </c>
      <c r="F240" s="187" t="str">
        <f t="shared" si="175"/>
        <v/>
      </c>
      <c r="G240" s="187" t="str">
        <f t="shared" si="176"/>
        <v/>
      </c>
      <c r="H240" s="187" t="str">
        <f t="shared" si="176"/>
        <v/>
      </c>
      <c r="I240" s="187"/>
      <c r="J240" s="187" t="str">
        <f t="shared" si="177"/>
        <v/>
      </c>
      <c r="K240" s="234" t="str">
        <f t="shared" si="178"/>
        <v/>
      </c>
      <c r="AE240" s="27"/>
      <c r="AP240" s="1"/>
      <c r="AQ240" s="1"/>
      <c r="AR240" s="1"/>
      <c r="AS240" s="1"/>
      <c r="BF240" s="1"/>
      <c r="BG240" s="1"/>
    </row>
    <row r="241" spans="1:59" hidden="1" x14ac:dyDescent="0.2">
      <c r="C241" s="229">
        <v>14</v>
      </c>
      <c r="D241" s="233" t="str">
        <f t="shared" si="173"/>
        <v/>
      </c>
      <c r="E241" s="187" t="str">
        <f t="shared" si="174"/>
        <v/>
      </c>
      <c r="F241" s="187" t="str">
        <f t="shared" si="175"/>
        <v/>
      </c>
      <c r="G241" s="187" t="str">
        <f t="shared" si="176"/>
        <v/>
      </c>
      <c r="H241" s="187" t="str">
        <f t="shared" si="176"/>
        <v/>
      </c>
      <c r="I241" s="187"/>
      <c r="J241" s="187" t="str">
        <f t="shared" si="177"/>
        <v/>
      </c>
      <c r="K241" s="234" t="str">
        <f t="shared" si="178"/>
        <v/>
      </c>
      <c r="AE241" s="27"/>
      <c r="AP241" s="1"/>
      <c r="AQ241" s="1"/>
      <c r="AR241" s="1"/>
      <c r="AS241" s="1"/>
      <c r="BF241" s="1"/>
      <c r="BG241" s="1"/>
    </row>
    <row r="242" spans="1:59" hidden="1" x14ac:dyDescent="0.2">
      <c r="A242" s="257"/>
      <c r="C242" s="229">
        <v>15</v>
      </c>
      <c r="D242" s="233" t="str">
        <f t="shared" si="173"/>
        <v/>
      </c>
      <c r="E242" s="187" t="str">
        <f t="shared" si="174"/>
        <v/>
      </c>
      <c r="F242" s="187" t="str">
        <f t="shared" si="175"/>
        <v/>
      </c>
      <c r="G242" s="187" t="str">
        <f t="shared" si="176"/>
        <v/>
      </c>
      <c r="H242" s="187" t="str">
        <f t="shared" si="176"/>
        <v/>
      </c>
      <c r="I242" s="187"/>
      <c r="J242" s="187" t="str">
        <f t="shared" si="177"/>
        <v/>
      </c>
      <c r="K242" s="234" t="str">
        <f t="shared" si="178"/>
        <v/>
      </c>
      <c r="AE242" s="27"/>
      <c r="AP242" s="1"/>
      <c r="AQ242" s="1"/>
      <c r="AR242" s="1"/>
      <c r="AS242" s="1"/>
      <c r="BF242" s="1"/>
      <c r="BG242" s="1"/>
    </row>
    <row r="243" spans="1:59" hidden="1" x14ac:dyDescent="0.2">
      <c r="A243" s="257"/>
      <c r="C243" s="229">
        <v>16</v>
      </c>
      <c r="D243" s="233" t="str">
        <f t="shared" si="173"/>
        <v/>
      </c>
      <c r="E243" s="187" t="str">
        <f t="shared" si="174"/>
        <v/>
      </c>
      <c r="F243" s="187" t="str">
        <f t="shared" si="175"/>
        <v/>
      </c>
      <c r="G243" s="187" t="str">
        <f t="shared" si="176"/>
        <v/>
      </c>
      <c r="H243" s="187" t="str">
        <f t="shared" si="176"/>
        <v/>
      </c>
      <c r="I243" s="187"/>
      <c r="J243" s="187" t="str">
        <f t="shared" si="177"/>
        <v/>
      </c>
      <c r="K243" s="234" t="str">
        <f t="shared" si="178"/>
        <v/>
      </c>
      <c r="AE243" s="27"/>
      <c r="AP243" s="1"/>
      <c r="AQ243" s="1"/>
      <c r="AR243" s="1"/>
      <c r="AS243" s="1"/>
      <c r="BF243" s="1"/>
      <c r="BG243" s="1"/>
    </row>
    <row r="244" spans="1:59" hidden="1" x14ac:dyDescent="0.2">
      <c r="A244" s="257"/>
      <c r="C244" s="229">
        <v>17</v>
      </c>
      <c r="D244" s="233" t="str">
        <f t="shared" si="173"/>
        <v/>
      </c>
      <c r="E244" s="187" t="str">
        <f t="shared" si="174"/>
        <v/>
      </c>
      <c r="F244" s="187" t="str">
        <f t="shared" si="175"/>
        <v/>
      </c>
      <c r="G244" s="187" t="str">
        <f t="shared" si="176"/>
        <v/>
      </c>
      <c r="H244" s="187" t="str">
        <f t="shared" si="176"/>
        <v/>
      </c>
      <c r="I244" s="187"/>
      <c r="J244" s="187" t="str">
        <f t="shared" si="177"/>
        <v/>
      </c>
      <c r="K244" s="234" t="str">
        <f t="shared" si="178"/>
        <v/>
      </c>
      <c r="AE244" s="27"/>
      <c r="AP244" s="1"/>
      <c r="AQ244" s="1"/>
      <c r="AR244" s="1"/>
      <c r="AS244" s="1"/>
      <c r="BF244" s="1"/>
      <c r="BG244" s="1"/>
    </row>
    <row r="245" spans="1:59" ht="13.5" hidden="1" thickBot="1" x14ac:dyDescent="0.25">
      <c r="A245" s="257"/>
      <c r="C245" s="229">
        <v>18</v>
      </c>
      <c r="D245" s="233" t="str">
        <f t="shared" si="173"/>
        <v/>
      </c>
      <c r="E245" s="187" t="str">
        <f t="shared" si="174"/>
        <v/>
      </c>
      <c r="F245" s="187" t="str">
        <f t="shared" si="175"/>
        <v/>
      </c>
      <c r="G245" s="187" t="str">
        <f t="shared" si="176"/>
        <v/>
      </c>
      <c r="H245" s="187" t="str">
        <f t="shared" si="176"/>
        <v/>
      </c>
      <c r="I245" s="187"/>
      <c r="J245" s="187" t="str">
        <f t="shared" si="177"/>
        <v/>
      </c>
      <c r="K245" s="234" t="str">
        <f t="shared" si="178"/>
        <v/>
      </c>
      <c r="AE245" s="27"/>
      <c r="AP245" s="1"/>
      <c r="AQ245" s="1"/>
      <c r="AR245" s="1"/>
      <c r="AS245" s="1"/>
      <c r="BF245" s="1"/>
      <c r="BG245" s="1"/>
    </row>
    <row r="246" spans="1:59" hidden="1" x14ac:dyDescent="0.2">
      <c r="A246" s="257"/>
      <c r="C246" s="182"/>
      <c r="D246" s="235">
        <f>SUM(D228:D245)</f>
        <v>0</v>
      </c>
      <c r="E246" s="183"/>
      <c r="F246" s="183"/>
      <c r="G246" s="183"/>
      <c r="H246" s="183"/>
      <c r="I246" s="183"/>
      <c r="J246" s="183"/>
      <c r="K246" s="236" t="str">
        <f>CONCATENATE(K228,K229,K230,K231,K232,K233,K234,K235,K236,K237,K238,K239,K240,K241,K242,K243,K244,K245,)</f>
        <v/>
      </c>
      <c r="AE246" s="27"/>
      <c r="AP246" s="1"/>
      <c r="AQ246" s="1"/>
      <c r="AR246" s="1"/>
      <c r="AS246" s="1"/>
      <c r="BF246" s="1"/>
      <c r="BG246" s="1"/>
    </row>
    <row r="247" spans="1:59" hidden="1" x14ac:dyDescent="0.2">
      <c r="A247" s="257"/>
      <c r="AE247" s="27"/>
      <c r="AP247" s="1"/>
      <c r="AQ247" s="1"/>
      <c r="AR247" s="1"/>
      <c r="AS247" s="1"/>
      <c r="BF247" s="1"/>
      <c r="BG247" s="1"/>
    </row>
  </sheetData>
  <sheetProtection password="C858" sheet="1" objects="1" scenarios="1"/>
  <protectedRanges>
    <protectedRange sqref="L17:Y43" name="Entrant data righthand"/>
    <protectedRange sqref="C17:J43" name="Entrant Data lefthand"/>
  </protectedRanges>
  <mergeCells count="31">
    <mergeCell ref="J3:Q3"/>
    <mergeCell ref="J4:Q4"/>
    <mergeCell ref="J6:Q6"/>
    <mergeCell ref="E8:V8"/>
    <mergeCell ref="C10:D10"/>
    <mergeCell ref="E10:F10"/>
    <mergeCell ref="G10:H10"/>
    <mergeCell ref="I10:L10"/>
    <mergeCell ref="M10:N10"/>
    <mergeCell ref="O10:S10"/>
    <mergeCell ref="C11:D11"/>
    <mergeCell ref="M11:Y11"/>
    <mergeCell ref="C12:D12"/>
    <mergeCell ref="M12:U12"/>
    <mergeCell ref="V12:Y12"/>
    <mergeCell ref="C13:D13"/>
    <mergeCell ref="P13:Q13"/>
    <mergeCell ref="S13:U13"/>
    <mergeCell ref="V13:W14"/>
    <mergeCell ref="X13:X14"/>
    <mergeCell ref="C14:D14"/>
    <mergeCell ref="P14:Q14"/>
    <mergeCell ref="S14:U14"/>
    <mergeCell ref="S16:U16"/>
    <mergeCell ref="V16:W16"/>
    <mergeCell ref="H85:O85"/>
    <mergeCell ref="K13:K15"/>
    <mergeCell ref="V10:Y10"/>
    <mergeCell ref="Y13:Y14"/>
    <mergeCell ref="T10:U10"/>
    <mergeCell ref="W44:Y44"/>
  </mergeCells>
  <conditionalFormatting sqref="J44">
    <cfRule type="cellIs" dxfId="14" priority="5" stopIfTrue="1" operator="greaterThan">
      <formula>0</formula>
    </cfRule>
  </conditionalFormatting>
  <conditionalFormatting sqref="G129:G155">
    <cfRule type="cellIs" dxfId="13" priority="4" stopIfTrue="1" operator="greaterThan">
      <formula>3</formula>
    </cfRule>
  </conditionalFormatting>
  <conditionalFormatting sqref="J129:J155 J157">
    <cfRule type="cellIs" dxfId="12" priority="3" stopIfTrue="1" operator="greaterThan">
      <formula>2</formula>
    </cfRule>
  </conditionalFormatting>
  <conditionalFormatting sqref="C45">
    <cfRule type="cellIs" dxfId="11" priority="2" stopIfTrue="1" operator="greaterThan">
      <formula>0</formula>
    </cfRule>
  </conditionalFormatting>
  <conditionalFormatting sqref="D45">
    <cfRule type="notContainsBlanks" dxfId="10" priority="6" stopIfTrue="1">
      <formula>LEN(TRIM(D45))&gt;0</formula>
    </cfRule>
  </conditionalFormatting>
  <conditionalFormatting sqref="AA17:AA43">
    <cfRule type="notContainsBlanks" dxfId="9" priority="1" stopIfTrue="1">
      <formula>LEN(TRIM(AA17))&gt;0</formula>
    </cfRule>
  </conditionalFormatting>
  <dataValidations xWindow="286" yWindow="678" count="23">
    <dataValidation type="textLength" allowBlank="1" showInputMessage="1" showErrorMessage="1" error="Length must be between 2 &amp; 18 Characters" promptTitle="First Name" prompt="Length between 2 &amp; 18 Characters" sqref="C17:C43">
      <formula1>2</formula1>
      <formula2>18</formula2>
    </dataValidation>
    <dataValidation type="whole" allowBlank="1" showInputMessage="1" showErrorMessage="1" errorTitle="Invalid Entry" error="Scout Association Member No._x000a_This is an integer of not more than 8 digits._x000a_You may ignore leading zeroes" promptTitle="Scout Association Member No." prompt="Required for all competitors aged 18 &amp; over on the Saturday of the competition._x000a_You may ignore leading zeroes" sqref="G17:G43">
      <formula1>1</formula1>
      <formula2>99999999</formula2>
    </dataValidation>
    <dataValidation type="date" allowBlank="1" showInputMessage="1" showErrorMessage="1" errorTitle="Date out of range" error="Minimum age for entry is 10 yrs on the Saturday of the competition." promptTitle="Date of Birth" prompt="Enter format dd/mm/yyyy. 01/01/1900 will be assumed if age suppressed (Permitted for those over 25 only - see rule 20 for the consequence of this)." sqref="E17:E43">
      <formula1>3654</formula1>
      <formula2>Youngest_Entrant_DoB</formula2>
    </dataValidation>
    <dataValidation type="list" allowBlank="1" showInputMessage="1" showErrorMessage="1" errorTitle="Invalid Team" error="Select from dropdown box" promptTitle="Connaught Team member?" prompt="Select from Drop-down box._x000a_Three entrants per team._x000a_Junior Teams all aged under 14_x000a_Senior Teams may include not more than one member aged 25 or over._x000a_" sqref="J17:J43">
      <formula1>$AB$14:$AB$24</formula1>
    </dataValidation>
    <dataValidation type="list" showInputMessage="1" showErrorMessage="1" errorTitle="Invalid entry" error="Enter X for a Leader or Range Officer NOT entering the Knockout_x000a_or_x000a_Enter N  for a Leader or Range Officer NOT entering Any Main Event Class_x000a_or Leave blank for normal Main Event entry" promptTitle="No Knockout or Main Event?" prompt="Enter X for a Leader or Range Officer NOT entering the Knockout_x000a_Enter N  for a Leader or Range Officer NOT entering Any Main Event Class." sqref="L17">
      <formula1>$AB$27:$AB$28</formula1>
    </dataValidation>
    <dataValidation type="list" allowBlank="1" showInputMessage="1" showErrorMessage="1" errorTitle="Invalid entry" error="Enter X for a Leader or Range Officer NOT entering the Knockout_x000a_or_x000a_Enter N  for a Leader or Range Officer NOT entering Any Main Event Class_x000a_or Leave blank for normal Main Event entry" promptTitle="No Knockout or Main Event?" prompt="Enter X for a Leader or Range Officer NOT entering the Knockout_x000a_Enter N  for a Leader or Range Officer NOT entering Any Main Event Class." sqref="L18:L43">
      <formula1>$AB$27:$AB$28</formula1>
    </dataValidation>
    <dataValidation type="textLength" operator="lessThanOrEqual" allowBlank="1" showInputMessage="1" showErrorMessage="1" errorTitle="Invalid Entry" error="Limit is 20 Characters" promptTitle="3-P Team Name" prompt="Maximum length is 20 characters." sqref="U17:U43">
      <formula1>20</formula1>
    </dataValidation>
    <dataValidation type="list" allowBlank="1" showDropDown="1" showInputMessage="1" showErrorMessage="1" errorTitle="Invalid character." error="Mark F for female entrant or leave blank" promptTitle="Mark F for female entrant" prompt="Leave blank for male entrants" sqref="F17:F43">
      <formula1>$AB$11:$AB$12</formula1>
    </dataValidation>
    <dataValidation type="textLength" allowBlank="1" showInputMessage="1" showErrorMessage="1" errorTitle="Surname" error="Length must be between 2 and 36 characters" promptTitle="Surname" prompt="Length between 2 and 36 characters" sqref="D17:D43">
      <formula1>2</formula1>
      <formula2>36</formula2>
    </dataValidation>
    <dataValidation type="textLength" allowBlank="1" showInputMessage="1" showErrorMessage="1" errorTitle="Invalid Entry" prompt="Include all qualified Range Officers on &quot;Entrants&quot; sheet_x000a_" sqref="K17:K43">
      <formula1>0</formula1>
      <formula2>0</formula2>
    </dataValidation>
    <dataValidation type="list" allowBlank="1" showInputMessage="1" showErrorMessage="1" errorTitle="Invalid" error="Enter H for Honours Only - otherwise leave blank._x000a_" promptTitle="Honours Only?" prompt="Enter &quot;H&quot; if Honours Only in all classes (e.g. a Occasional Helper who is not a Member or Associate Member of The Scout Association)." sqref="I17:I43">
      <formula1>$AB$9:$AB$10</formula1>
    </dataValidation>
    <dataValidation type="list" allowBlank="1" showInputMessage="1" showErrorMessage="1" errorTitle="Invalid Entry" error="Select from dropdown box or leave blank" promptTitle="Entering Advanced Field Target?" prompt="Select from Dropdown box._x000a__x000a_Select Y if class is entered and gun is NOT being shared._x000a__x000a_Select YnShare to identify the gun to be used if shared._x000a__x000a_Refer to Rules 21 &amp; 25 about sharing guns and labelling._x000a_" sqref="R17:R43">
      <formula1>$AB$30:$AB$48</formula1>
    </dataValidation>
    <dataValidation type="list" allowBlank="1" showInputMessage="1" showErrorMessage="1" errorTitle="Invalid Entry" error="Select from dropdown box or leave blank" promptTitle="Entering 10m Sporter?" prompt="Select from Dropdown box._x000a__x000a_Select Y if class is entered and gun is NOT being shared._x000a__x000a_Select YnShare to identify the gun to be used if shared._x000a__x000a_Refer to Rules 21 &amp; 25 about sharing guns and labelling._x000a_" sqref="Q17:Q43">
      <formula1>$AB$30:$AB$48</formula1>
    </dataValidation>
    <dataValidation type="list" allowBlank="1" showInputMessage="1" showErrorMessage="1" errorTitle="Invalid Entry" error="Select from dropdown box or leave blank" promptTitle="Entering Vintage Rifle?" prompt="Select from Dropdown box._x000a__x000a_Select Y if class is entered and gun is NOT being shared._x000a__x000a_Select YnShare to identify the gun to be used if shared._x000a__x000a_Refer to Rules 21 &amp; 25 about sharing guns and labelling." sqref="O17:O43">
      <formula1>$AB$30:$AB$48</formula1>
    </dataValidation>
    <dataValidation type="list" allowBlank="1" showInputMessage="1" showErrorMessage="1" errorTitle="Invalid Entry" error="Select from dropdown box or leave blank" promptTitle="Entering Own Pistol?" prompt="Select from Dropdown box._x000a__x000a_Select Y if class is entered and gun is NOT being shared._x000a__x000a_Select YnShare to identify the gun to be used if shared._x000a__x000a_Refer to Rules 21 &amp; 25 about sharing guns and labelling." sqref="N17:N43">
      <formula1>$AB$30:$AB$48</formula1>
    </dataValidation>
    <dataValidation type="list" allowBlank="1" showInputMessage="1" showErrorMessage="1" errorTitle="Invalid Entry" error="Select from dropdown box or leave blank" promptTitle="Entering 6yd Spring Gun?" prompt="Select from Dropdown box._x000a__x000a_Select Y if class is entered and gun is NOT being shared._x000a__x000a_Select YnShare to identify the gun to be used if shared._x000a__x000a_Refer to Rules 21 &amp; 25 about sharing guns and labelling." sqref="M17:M43">
      <formula1>$AB$30:$AB$48</formula1>
    </dataValidation>
    <dataValidation type="list" allowBlank="1" showInputMessage="1" showErrorMessage="1" errorTitle="Invalid Entry" error="Select from dropdown box or leave blank" promptTitle="Entering 10m Open?" prompt="Select from Dropdown box._x000a__x000a_Select Y if class is entered and gun is NOT being shared._x000a__x000a_Select YnShare to identify the gun to be used if shared._x000a__x000a_Refer to Rules 21 &amp; 25 about sharing guns and labelling._x000a_" sqref="P17:P43">
      <formula1>$AB$30:$AB$48</formula1>
    </dataValidation>
    <dataValidation type="list" allowBlank="1" showInputMessage="1" showErrorMessage="1" errorTitle="Invalid Entry" error="Select from dropdown box or leave blank" promptTitle="Sharing a Rifle for 3-P?" prompt="Select from Dropdown box._x000a__x000a_Select YnShare to identify the gun to be used if shared._x000a_Leave blank if user has sole use of rifle or if 3-P not entered._x000a__x000a_Refer to Rules 21_x000a_ &amp; 25 about sharing guns and labelling." sqref="T17:T43">
      <formula1>$AB$31:$AB$48</formula1>
    </dataValidation>
    <dataValidation type="list" allowBlank="1" showInputMessage="1" showErrorMessage="1" errorTitle="Invalid entry" error="Enter Class (A, B or X) or leave blank" promptTitle="Entering Small-bore?" prompt="Minimum Age 12_x000a_Enter Class (A, B or X) if entering or leave blank._x000a__x000a_Reminder: Over 18s enter Class B on an &quot;Honours Only&quot; basis._x000a_" sqref="Y17:Y43">
      <formula1>$AB$51:$AB$53</formula1>
    </dataValidation>
    <dataValidation type="list" allowBlank="1" showInputMessage="1" showErrorMessage="1" errorTitle="Invalid data" error="Enter Class (A or B) or leave blank" promptTitle="Entering Fullbore?" prompt="Minimum Age 14_x000a_Enter Class (A or B) if entering or leave blank._x000a__x000a_Reminder: Over 25s enter Class B on an &quot;Honours Only&quot; basis." sqref="X17:X43">
      <formula1>$AB$51:$AB$52</formula1>
    </dataValidation>
    <dataValidation type="list" allowBlank="1" showInputMessage="1" showErrorMessage="1" errorTitle="Invalid Entry" error="Select from dropdown box or leave blank" promptTitle="Entering 10m Three-Position?" prompt="Select Class (Open or Sporter) from Dropdown box._x000a__x000a_Use the next column to indicate if rifle is to be shared._x000a_" sqref="S17:S43">
      <formula1>$AB$49:$AB$50</formula1>
    </dataValidation>
    <dataValidation type="list" operator="lessThanOrEqual" allowBlank="1" showInputMessage="1" showErrorMessage="1" errorTitle="Target Sprint" error="Pick Y or YnShare from Drop-down list or leave blank" promptTitle="ISSF Target Sprint Class A" prompt="Enter Y if entering ISSF Target Sprint Class A with a provided rifle or an Own Rifle that is NOT being shared._x000a__x000a_Enter YnShare if using an &quot;Own Rifle&quot; shared with other people. _x000a__x000a_Otherwise leave blank" sqref="V17:V43">
      <formula1>$AB$30:$AB$48</formula1>
    </dataValidation>
    <dataValidation type="list" allowBlank="1" showInputMessage="1" showErrorMessage="1" errorTitle="Target Sprint" error="Pick Y or YnShare from Drop-down list or leave blank_x000a_" promptTitle="Target Sprint Class B" prompt="Enter Y or YnShare as applicable if entering Target Sprint Class B. _x000a__x000a_Otherwise leave blank_x000a__x000a_Reminder; National Scout Rifle Squad members may enter the Target Sprint Class B only if also competing in Target Sprint Class A._x000a_" sqref="W17:W43">
      <formula1>$AB$30:$AB$48</formula1>
    </dataValidation>
  </dataValidations>
  <pageMargins left="0.7" right="0.7" top="0.75" bottom="0.75" header="0.3" footer="0.3"/>
  <pageSetup paperSize="9" scale="50" orientation="landscape" verticalDpi="0" r:id="rId1"/>
  <drawing r:id="rId2"/>
  <extLst>
    <ext xmlns:x14="http://schemas.microsoft.com/office/spreadsheetml/2009/9/main" uri="{CCE6A557-97BC-4b89-ADB6-D9C93CAAB3DF}">
      <x14:dataValidations xmlns:xm="http://schemas.microsoft.com/office/excel/2006/main" xWindow="286" yWindow="678" count="1">
        <x14:dataValidation type="list" allowBlank="1" showDropDown="1" showInputMessage="1" showErrorMessage="1" errorTitle="Invalid" error="This is not a competitor number from last year's results. Please check http://www.scouts-shoot.org.uk/nsrc/results/2007-16/2016/AllRes16.zip" promptTitle="Competed Last year?" prompt="Enter &quot;Y&quot;, &quot;N&quot; or last year's competitor number if known.">
          <x14:formula1>
            <xm:f>LastYrList!$A:$A</xm:f>
          </x14:formula1>
          <xm:sqref>H17:H43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2"/>
  <sheetViews>
    <sheetView workbookViewId="0">
      <selection activeCell="A2" sqref="A2"/>
    </sheetView>
  </sheetViews>
  <sheetFormatPr defaultRowHeight="12.75" x14ac:dyDescent="0.2"/>
  <cols>
    <col min="1" max="1" width="9.7109375" customWidth="1"/>
    <col min="2" max="2" width="7.85546875" style="1" customWidth="1"/>
    <col min="3" max="3" width="16.28515625" customWidth="1"/>
    <col min="4" max="4" width="13.42578125" customWidth="1"/>
    <col min="5" max="5" width="10.85546875" customWidth="1"/>
    <col min="6" max="7" width="13.5703125" customWidth="1"/>
    <col min="8" max="8" width="15.85546875" customWidth="1"/>
    <col min="10" max="12" width="15.85546875" customWidth="1"/>
    <col min="13" max="13" width="23.5703125" customWidth="1"/>
    <col min="14" max="14" width="20.7109375" customWidth="1"/>
    <col min="15" max="15" width="16.5703125" customWidth="1"/>
    <col min="16" max="16" width="16" customWidth="1"/>
    <col min="17" max="17" width="16.5703125" customWidth="1"/>
    <col min="18" max="18" width="11.140625" customWidth="1"/>
  </cols>
  <sheetData>
    <row r="1" spans="1:19" s="128" customFormat="1" ht="13.5" x14ac:dyDescent="0.25">
      <c r="A1" s="128" t="s">
        <v>357</v>
      </c>
      <c r="B1" s="129" t="s">
        <v>367</v>
      </c>
      <c r="C1" s="128" t="s">
        <v>358</v>
      </c>
      <c r="D1" s="128" t="s">
        <v>354</v>
      </c>
      <c r="E1" s="128" t="s">
        <v>359</v>
      </c>
      <c r="F1" s="128" t="s">
        <v>360</v>
      </c>
      <c r="G1" s="128" t="s">
        <v>374</v>
      </c>
      <c r="H1" s="128" t="s">
        <v>373</v>
      </c>
      <c r="I1" s="128" t="s">
        <v>368</v>
      </c>
      <c r="J1" s="128" t="s">
        <v>375</v>
      </c>
      <c r="K1" s="128" t="s">
        <v>603</v>
      </c>
      <c r="L1" s="128" t="s">
        <v>602</v>
      </c>
      <c r="M1" s="128" t="s">
        <v>601</v>
      </c>
      <c r="N1" s="128" t="s">
        <v>361</v>
      </c>
      <c r="O1" s="128" t="s">
        <v>362</v>
      </c>
      <c r="P1" s="128" t="s">
        <v>363</v>
      </c>
      <c r="Q1" s="128" t="s">
        <v>364</v>
      </c>
      <c r="R1" s="128" t="s">
        <v>365</v>
      </c>
      <c r="S1" s="128" t="s">
        <v>366</v>
      </c>
    </row>
    <row r="2" spans="1:19" x14ac:dyDescent="0.2">
      <c r="A2" s="447">
        <v>1</v>
      </c>
      <c r="B2" s="1">
        <f>Entrants!D10</f>
        <v>0</v>
      </c>
      <c r="C2" s="446">
        <f>Entrants!I10</f>
        <v>0</v>
      </c>
      <c r="D2" s="446">
        <f>Entrants!N10</f>
        <v>0</v>
      </c>
      <c r="E2" s="446">
        <f>Entrants!V10</f>
        <v>0</v>
      </c>
      <c r="F2" s="446">
        <f>Group!C10</f>
        <v>0</v>
      </c>
      <c r="G2" s="446">
        <f>Group!C12</f>
        <v>0</v>
      </c>
      <c r="H2" s="446">
        <f>Group!C13</f>
        <v>0</v>
      </c>
      <c r="I2" s="446">
        <f>Group!D14</f>
        <v>0</v>
      </c>
      <c r="J2" s="446">
        <f>Group!C15</f>
        <v>0</v>
      </c>
      <c r="K2" s="446">
        <f>Group!C16</f>
        <v>0</v>
      </c>
      <c r="L2" s="446">
        <f>Group!F12</f>
        <v>0</v>
      </c>
      <c r="M2" s="446">
        <f>Group!F13</f>
        <v>0</v>
      </c>
      <c r="N2" s="446">
        <f>Group!F16</f>
        <v>0</v>
      </c>
      <c r="O2" s="446">
        <f>Group!C21</f>
        <v>0</v>
      </c>
      <c r="P2" s="446">
        <f>Group!G21</f>
        <v>0</v>
      </c>
      <c r="Q2" s="446">
        <f>Group!F20</f>
        <v>0</v>
      </c>
      <c r="R2" s="446">
        <f>Group!D38</f>
        <v>0</v>
      </c>
      <c r="S2" s="446">
        <f>Group!F38</f>
        <v>0</v>
      </c>
    </row>
  </sheetData>
  <sheetProtection password="C858" sheet="1" objects="1" scenarios="1"/>
  <protectedRanges>
    <protectedRange sqref="A2" name="Team No"/>
  </protectedRanges>
  <phoneticPr fontId="13" type="noConversion"/>
  <pageMargins left="0.25" right="0.25" top="0.75" bottom="0.75" header="0.3" footer="0.3"/>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S128"/>
  <sheetViews>
    <sheetView topLeftCell="Q1" zoomScale="90" zoomScaleNormal="90" workbookViewId="0">
      <selection activeCell="AP30" sqref="AP30"/>
    </sheetView>
  </sheetViews>
  <sheetFormatPr defaultColWidth="6.7109375" defaultRowHeight="12.75" x14ac:dyDescent="0.2"/>
  <cols>
    <col min="2" max="2" width="6.7109375" customWidth="1"/>
    <col min="3" max="3" width="12.28515625" customWidth="1"/>
    <col min="4" max="4" width="4.7109375" customWidth="1"/>
    <col min="5" max="5" width="7.85546875" customWidth="1"/>
    <col min="6" max="6" width="10" customWidth="1"/>
    <col min="7" max="13" width="6.7109375" customWidth="1"/>
    <col min="14" max="14" width="8.28515625" customWidth="1"/>
    <col min="15" max="16" width="6.7109375" customWidth="1"/>
    <col min="17" max="17" width="8.28515625" customWidth="1"/>
    <col min="18" max="23" width="6.7109375" customWidth="1"/>
    <col min="25" max="35" width="6.7109375" customWidth="1"/>
    <col min="36" max="36" width="7.5703125" customWidth="1"/>
    <col min="37" max="37" width="6.7109375" customWidth="1"/>
    <col min="38" max="38" width="7.28515625" customWidth="1"/>
    <col min="40" max="40" width="6.7109375" customWidth="1"/>
    <col min="41" max="41" width="7.140625" customWidth="1"/>
    <col min="42" max="42" width="21" customWidth="1"/>
    <col min="43" max="43" width="6.7109375" style="9" customWidth="1"/>
    <col min="44" max="45" width="6.7109375" style="9"/>
  </cols>
  <sheetData>
    <row r="1" spans="1:45" x14ac:dyDescent="0.2">
      <c r="A1" t="s">
        <v>839</v>
      </c>
      <c r="W1" t="s">
        <v>840</v>
      </c>
    </row>
    <row r="2" spans="1:45" s="132" customFormat="1" ht="91.5" customHeight="1" x14ac:dyDescent="0.2">
      <c r="B2" s="132" t="s">
        <v>376</v>
      </c>
      <c r="C2" s="132" t="s">
        <v>40</v>
      </c>
      <c r="D2" s="132" t="s">
        <v>377</v>
      </c>
      <c r="E2" s="132" t="s">
        <v>378</v>
      </c>
      <c r="F2" s="132" t="s">
        <v>23</v>
      </c>
      <c r="G2" s="132" t="s">
        <v>579</v>
      </c>
      <c r="H2" s="132" t="s">
        <v>614</v>
      </c>
      <c r="I2" s="132" t="s">
        <v>379</v>
      </c>
      <c r="J2" s="132" t="s">
        <v>380</v>
      </c>
      <c r="K2" s="132" t="s">
        <v>381</v>
      </c>
      <c r="L2" s="132" t="s">
        <v>382</v>
      </c>
      <c r="M2" s="132" t="s">
        <v>383</v>
      </c>
      <c r="N2" s="132" t="s">
        <v>384</v>
      </c>
      <c r="O2" s="132" t="s">
        <v>584</v>
      </c>
      <c r="P2" s="132" t="s">
        <v>385</v>
      </c>
      <c r="Q2" s="132" t="s">
        <v>386</v>
      </c>
      <c r="R2" s="132" t="s">
        <v>387</v>
      </c>
      <c r="S2" s="132" t="s">
        <v>388</v>
      </c>
      <c r="T2" s="132" t="s">
        <v>389</v>
      </c>
      <c r="U2" s="132" t="s">
        <v>390</v>
      </c>
      <c r="V2" s="132" t="s">
        <v>391</v>
      </c>
      <c r="W2" s="132" t="s">
        <v>833</v>
      </c>
      <c r="X2" s="132" t="s">
        <v>832</v>
      </c>
      <c r="Y2" s="132" t="s">
        <v>429</v>
      </c>
      <c r="Z2" s="132" t="s">
        <v>16</v>
      </c>
      <c r="AA2" s="132" t="s">
        <v>1007</v>
      </c>
      <c r="AB2" s="132" t="s">
        <v>1008</v>
      </c>
      <c r="AC2" s="132" t="s">
        <v>393</v>
      </c>
      <c r="AD2" s="132" t="s">
        <v>394</v>
      </c>
      <c r="AE2" s="132" t="s">
        <v>395</v>
      </c>
      <c r="AF2" s="132" t="s">
        <v>396</v>
      </c>
      <c r="AG2" s="132" t="s">
        <v>397</v>
      </c>
      <c r="AH2" s="132" t="s">
        <v>424</v>
      </c>
      <c r="AI2" s="132" t="s">
        <v>425</v>
      </c>
      <c r="AJ2" s="132" t="s">
        <v>426</v>
      </c>
      <c r="AK2" s="132" t="s">
        <v>835</v>
      </c>
      <c r="AL2" s="132" t="s">
        <v>427</v>
      </c>
      <c r="AM2" s="132" t="s">
        <v>834</v>
      </c>
      <c r="AN2" s="132" t="s">
        <v>428</v>
      </c>
      <c r="AO2" s="132" t="s">
        <v>831</v>
      </c>
      <c r="AP2" s="437" t="s">
        <v>453</v>
      </c>
      <c r="AQ2" s="440"/>
      <c r="AR2" s="440"/>
      <c r="AS2" s="440"/>
    </row>
    <row r="3" spans="1:45" s="133" customFormat="1" ht="10.5" x14ac:dyDescent="0.15">
      <c r="AP3" s="438"/>
      <c r="AQ3" s="441"/>
      <c r="AR3" s="441"/>
      <c r="AS3" s="441"/>
    </row>
    <row r="4" spans="1:45" s="359" customFormat="1" x14ac:dyDescent="0.25">
      <c r="B4" s="359">
        <f>IF(COUNTBLANK(Entrants!B17)=0,'Team Data'!A$2,0)</f>
        <v>0</v>
      </c>
      <c r="C4" s="359">
        <f>IF(COUNTBLANK(Entrants!B17)=0,Group!$B$8,0)</f>
        <v>0</v>
      </c>
      <c r="E4" s="359" t="str">
        <f>IF(TRIM(PROPER(Entrants!B17))="Zoe","Zoë",TRIM(PROPER(Entrants!B17)))</f>
        <v/>
      </c>
      <c r="F4" s="359" t="str">
        <f>TRIM(PROPER(Entrants!C17))</f>
        <v/>
      </c>
      <c r="G4" s="359">
        <f>IF(AND(Entrants!F17&gt;0,Entrants!F17&lt;1000000000),Entrants!F17,0)</f>
        <v>0</v>
      </c>
      <c r="H4" s="359">
        <f>IF(OR(AND(TYPE(Entrants!G17)=1,Entrants!G17&gt;1000),Entrants!G17="Y"),Entrants!G17,0)</f>
        <v>0</v>
      </c>
      <c r="I4" s="359" t="str">
        <f>UPPER(Entrants!I17)</f>
        <v/>
      </c>
      <c r="J4" s="359" t="str">
        <f>IF(Entrants!E17="F","F","")</f>
        <v/>
      </c>
      <c r="K4" s="359" t="str">
        <f>IF(Entrants!J17="R",TRUE,"")</f>
        <v/>
      </c>
      <c r="L4" s="359" t="str">
        <f>IF(Entrants!K17="X",TRUE,"")</f>
        <v/>
      </c>
      <c r="M4" s="359" t="str">
        <f>IF(Entrants!K17="N",TRUE,"")</f>
        <v/>
      </c>
      <c r="N4" s="361" t="str">
        <f>IF(Entrants!D17="","",Entrants!D17)</f>
        <v/>
      </c>
      <c r="O4" s="359" t="str">
        <f>IF(COUNTBLANK(Entrants!B17)=0,INT(Entrants!AC17),"")</f>
        <v/>
      </c>
      <c r="P4" s="359" t="str">
        <f>IF(COUNTBLANK(Entrants!B17)=1,"",IF(O4&lt;14,"J","S"))</f>
        <v/>
      </c>
      <c r="Q4" s="359" t="str">
        <f>IF(Entrants!B17="","",IF(Entrants!K17="n","PKEF",IF(Entrants!K17="x","K",TRUE)))</f>
        <v/>
      </c>
      <c r="R4" s="359" t="str">
        <f>IF(LEFT(Entrants!L17,1)="Y",TRUE,"")</f>
        <v/>
      </c>
      <c r="S4" s="359" t="str">
        <f>IF(LEFT(Entrants!M17,1)="Y",TRUE,"")</f>
        <v/>
      </c>
      <c r="T4" s="359" t="str">
        <f>IF(LEFT(Entrants!N17,1)="Y",TRUE,"")</f>
        <v/>
      </c>
      <c r="U4" s="359" t="str">
        <f>IF(LEFT(Entrants!O17,1)="Y",TRUE,"")</f>
        <v/>
      </c>
      <c r="V4" s="359" t="str">
        <f>IF(LEFT(Entrants!P17,1)="Y",TRUE,"")</f>
        <v/>
      </c>
      <c r="W4" s="359" t="str">
        <f>IF(Entrants!R17="Open",TRUE,"")</f>
        <v/>
      </c>
      <c r="X4" s="359" t="str">
        <f>IF(Entrants!R17="Sporter",TRUE,"")</f>
        <v/>
      </c>
      <c r="Y4" s="359" t="str">
        <f>IF(COUNTBLANK(Entrants!T17)=1,"",PROPER(Entrants!T17))</f>
        <v/>
      </c>
      <c r="Z4" s="359" t="str">
        <f>IF(LEFT(Entrants!Q17)="Y",TRUE,"")</f>
        <v/>
      </c>
      <c r="AA4" s="359" t="str">
        <f>IF(Entrants!V17="Y",TRUE,"")</f>
        <v/>
      </c>
      <c r="AB4" s="359" t="str">
        <f>IF(LEFT(Entrants!U17)="Y",TRUE,"")</f>
        <v/>
      </c>
      <c r="AC4" s="359" t="str">
        <f>IF(Entrants!W17="A",TRUE,"")</f>
        <v/>
      </c>
      <c r="AD4" s="359" t="str">
        <f>IF(Entrants!W17="B",TRUE,"")</f>
        <v/>
      </c>
      <c r="AE4" s="359" t="str">
        <f>IF(Entrants!X17="A",TRUE,"")</f>
        <v/>
      </c>
      <c r="AF4" s="359" t="str">
        <f>IF(Entrants!X17="B",TRUE,"")</f>
        <v/>
      </c>
      <c r="AG4" s="359" t="str">
        <f>IF(Entrants!X17="X",TRUE,"")</f>
        <v/>
      </c>
      <c r="AH4" s="359" t="str">
        <f>IF(Entrants!L17="Y","",IF(Entrants!L17="","",IF(ISERROR(VLOOKUP( Entrants!L17, Entrants!$P$144:$P$161,1,FALSE)),(Entrants!L17),"")))</f>
        <v/>
      </c>
      <c r="AI4" s="359" t="str">
        <f>IF(Entrants!M17="Y","",IF(Entrants!M17="","",IF(ISERROR(VLOOKUP( Entrants!M17, Entrants!$P$144:$P$161,1,FALSE)),(Entrants!M17),"")))</f>
        <v/>
      </c>
      <c r="AJ4" s="359" t="str">
        <f>IF(Entrants!N17="Y","",IF(Entrants!N17="","",IF(ISERROR(VLOOKUP( Entrants!N17, Entrants!$P$144:$P$161,1,FALSE)),(Entrants!N17),"")))</f>
        <v/>
      </c>
      <c r="AK4" s="359" t="str">
        <f>IF(Entrants!O17="Y","",IF(Entrants!O17="","",IF(ISERROR(VLOOKUP( Entrants!O17, Entrants!$P$144:$P$161,1,FALSE)),(Entrants!O17),"")))</f>
        <v/>
      </c>
      <c r="AL4" s="359" t="str">
        <f>IF(Entrants!P17="Y","",IF(Entrants!P17="","",IF(ISERROR(VLOOKUP( Entrants!P17, Entrants!$P$144:$P$161,1,FALSE)),(Entrants!P17),"")))</f>
        <v/>
      </c>
      <c r="AM4" s="359" t="str">
        <f>IF(LEN(Entrants!Q17)&gt;1,Entrants!Q17,"")</f>
        <v/>
      </c>
      <c r="AN4" s="359" t="str">
        <f>IF(Entrants!S17="Y","",IF(Entrants!S17="","",IF(ISERROR(VLOOKUP( Entrants!S17, Entrants!$P$144:$P$161,1,FALSE)),(Entrants!S17),"")))</f>
        <v/>
      </c>
      <c r="AO4" s="359" t="str">
        <f>IF(LEN(Entrants!U17)&gt;1,Entrants!U17,"")</f>
        <v/>
      </c>
      <c r="AP4" s="439" t="str">
        <f>Entrants!BH17</f>
        <v/>
      </c>
      <c r="AQ4" s="442"/>
      <c r="AR4" s="442"/>
      <c r="AS4" s="442"/>
    </row>
    <row r="5" spans="1:45" s="359" customFormat="1" x14ac:dyDescent="0.25">
      <c r="B5" s="359">
        <f>IF(COUNTBLANK(Entrants!B18)=0,'Team Data'!A$2,0)</f>
        <v>0</v>
      </c>
      <c r="C5" s="359">
        <f>IF(COUNTBLANK(Entrants!B18)=0,Group!$B$8,0)</f>
        <v>0</v>
      </c>
      <c r="E5" s="359" t="str">
        <f>IF(TRIM(PROPER(Entrants!B18))="Zoe","Zoë",TRIM(PROPER(Entrants!B18)))</f>
        <v/>
      </c>
      <c r="F5" s="359" t="str">
        <f>TRIM(PROPER(Entrants!C18))</f>
        <v/>
      </c>
      <c r="G5" s="359">
        <f>IF(AND(Entrants!F18&gt;0,Entrants!F18&lt;1000000000),Entrants!F18,0)</f>
        <v>0</v>
      </c>
      <c r="H5" s="359">
        <f>IF(OR(AND(TYPE(Entrants!G18)=1,Entrants!G18&gt;1000),Entrants!G18="Y"),Entrants!G18,0)</f>
        <v>0</v>
      </c>
      <c r="I5" s="359" t="str">
        <f>UPPER(Entrants!I18)</f>
        <v/>
      </c>
      <c r="J5" s="359" t="str">
        <f>IF(Entrants!E18="F","F","")</f>
        <v/>
      </c>
      <c r="K5" s="359" t="str">
        <f>IF(Entrants!J18="R",TRUE,"")</f>
        <v/>
      </c>
      <c r="L5" s="359" t="str">
        <f>IF(Entrants!K18="X",TRUE,"")</f>
        <v/>
      </c>
      <c r="M5" s="359" t="str">
        <f>IF(Entrants!K18="N",TRUE,"")</f>
        <v/>
      </c>
      <c r="N5" s="361" t="str">
        <f>IF(Entrants!D18="","",Entrants!D18)</f>
        <v/>
      </c>
      <c r="O5" s="359" t="str">
        <f>IF(COUNTBLANK(Entrants!B18)=0,INT(Entrants!AC18),"")</f>
        <v/>
      </c>
      <c r="P5" s="359" t="str">
        <f>IF(COUNTBLANK(Entrants!B18)=1,"",IF(O5&lt;14,"J","S"))</f>
        <v/>
      </c>
      <c r="Q5" s="359" t="str">
        <f>IF(Entrants!B18="","",IF(Entrants!K18="n","PKEF",IF(Entrants!K18="x","K",TRUE)))</f>
        <v/>
      </c>
      <c r="R5" s="359" t="str">
        <f>IF(LEFT(Entrants!L18,1)="Y",TRUE,"")</f>
        <v/>
      </c>
      <c r="S5" s="359" t="str">
        <f>IF(LEFT(Entrants!M18,1)="Y",TRUE,"")</f>
        <v/>
      </c>
      <c r="T5" s="359" t="str">
        <f>IF(LEFT(Entrants!N18,1)="Y",TRUE,"")</f>
        <v/>
      </c>
      <c r="U5" s="359" t="str">
        <f>IF(LEFT(Entrants!O18,1)="Y",TRUE,"")</f>
        <v/>
      </c>
      <c r="V5" s="359" t="str">
        <f>IF(LEFT(Entrants!P18,1)="Y",TRUE,"")</f>
        <v/>
      </c>
      <c r="W5" s="359" t="str">
        <f>IF(Entrants!R18="Open",TRUE,"")</f>
        <v/>
      </c>
      <c r="X5" s="359" t="str">
        <f>IF(Entrants!R18="Sporter",TRUE,"")</f>
        <v/>
      </c>
      <c r="Y5" s="359" t="str">
        <f>IF(COUNTBLANK(Entrants!T18)=1,"",PROPER(Entrants!T18))</f>
        <v/>
      </c>
      <c r="Z5" s="359" t="str">
        <f>IF(LEFT(Entrants!Q18)="Y",TRUE,"")</f>
        <v/>
      </c>
      <c r="AA5" s="359" t="str">
        <f>IF(Entrants!V18="Y",TRUE,"")</f>
        <v/>
      </c>
      <c r="AB5" s="359" t="str">
        <f>IF(LEFT(Entrants!U18)="Y",TRUE,"")</f>
        <v/>
      </c>
      <c r="AC5" s="359" t="str">
        <f>IF(Entrants!W18="A",TRUE,"")</f>
        <v/>
      </c>
      <c r="AD5" s="359" t="str">
        <f>IF(Entrants!W18="B",TRUE,"")</f>
        <v/>
      </c>
      <c r="AE5" s="359" t="str">
        <f>IF(Entrants!X18="A",TRUE,"")</f>
        <v/>
      </c>
      <c r="AF5" s="359" t="str">
        <f>IF(Entrants!X18="B",TRUE,"")</f>
        <v/>
      </c>
      <c r="AG5" s="359" t="str">
        <f>IF(Entrants!X18="X",TRUE,"")</f>
        <v/>
      </c>
      <c r="AH5" s="359" t="str">
        <f>IF(Entrants!L18="Y","",IF(Entrants!L18="","",IF(ISERROR(VLOOKUP( Entrants!L18, Entrants!$P$144:$P$161,1,FALSE)),(Entrants!L18),"")))</f>
        <v/>
      </c>
      <c r="AI5" s="359" t="str">
        <f>IF(Entrants!M18="Y","",IF(Entrants!M18="","",IF(ISERROR(VLOOKUP( Entrants!M18, Entrants!$P$144:$P$161,1,FALSE)),(Entrants!M18),"")))</f>
        <v/>
      </c>
      <c r="AJ5" s="359" t="str">
        <f>IF(Entrants!N18="Y","",IF(Entrants!N18="","",IF(ISERROR(VLOOKUP( Entrants!N18, Entrants!$P$144:$P$161,1,FALSE)),(Entrants!N18),"")))</f>
        <v/>
      </c>
      <c r="AK5" s="359" t="str">
        <f>IF(Entrants!O18="Y","",IF(Entrants!O18="","",IF(ISERROR(VLOOKUP( Entrants!O18, Entrants!$P$144:$P$161,1,FALSE)),(Entrants!O18),"")))</f>
        <v/>
      </c>
      <c r="AL5" s="359" t="str">
        <f>IF(Entrants!P18="Y","",IF(Entrants!P18="","",IF(ISERROR(VLOOKUP( Entrants!P18, Entrants!$P$144:$P$161,1,FALSE)),(Entrants!P18),"")))</f>
        <v/>
      </c>
      <c r="AM5" s="359" t="str">
        <f>IF(LEN(Entrants!Q18)&gt;1,Entrants!Q18,"")</f>
        <v/>
      </c>
      <c r="AN5" s="359" t="str">
        <f>IF(Entrants!S18="Y","",IF(Entrants!S18="","",IF(ISERROR(VLOOKUP( Entrants!S18, Entrants!$P$144:$P$161,1,FALSE)),(Entrants!S18),"")))</f>
        <v/>
      </c>
      <c r="AO5" s="359" t="str">
        <f>IF(LEN(Entrants!U18)&gt;1,Entrants!U18,"")</f>
        <v/>
      </c>
      <c r="AP5" s="439" t="str">
        <f>Entrants!BH18</f>
        <v/>
      </c>
      <c r="AQ5" s="442"/>
      <c r="AR5" s="442"/>
      <c r="AS5" s="442"/>
    </row>
    <row r="6" spans="1:45" s="359" customFormat="1" x14ac:dyDescent="0.25">
      <c r="B6" s="359">
        <f>IF(COUNTBLANK(Entrants!B19)=0,'Team Data'!A$2,0)</f>
        <v>0</v>
      </c>
      <c r="C6" s="359">
        <f>IF(COUNTBLANK(Entrants!B19)=0,Group!$B$8,0)</f>
        <v>0</v>
      </c>
      <c r="E6" s="359" t="str">
        <f>IF(TRIM(PROPER(Entrants!B19))="Zoe","Zoë",TRIM(PROPER(Entrants!B19)))</f>
        <v/>
      </c>
      <c r="F6" s="359" t="str">
        <f>TRIM(PROPER(Entrants!C19))</f>
        <v/>
      </c>
      <c r="G6" s="359">
        <f>IF(AND(Entrants!F19&gt;0,Entrants!F19&lt;1000000000),Entrants!F19,0)</f>
        <v>0</v>
      </c>
      <c r="H6" s="359">
        <f>IF(OR(AND(TYPE(Entrants!G19)=1,Entrants!G19&gt;1000),Entrants!G19="Y"),Entrants!G19,0)</f>
        <v>0</v>
      </c>
      <c r="I6" s="359" t="str">
        <f>UPPER(Entrants!I19)</f>
        <v/>
      </c>
      <c r="J6" s="359" t="str">
        <f>IF(Entrants!E19="F","F","")</f>
        <v/>
      </c>
      <c r="K6" s="359" t="str">
        <f>IF(Entrants!J19="R",TRUE,"")</f>
        <v/>
      </c>
      <c r="L6" s="359" t="str">
        <f>IF(Entrants!K19="X",TRUE,"")</f>
        <v/>
      </c>
      <c r="M6" s="359" t="str">
        <f>IF(Entrants!K19="N",TRUE,"")</f>
        <v/>
      </c>
      <c r="N6" s="361" t="str">
        <f>IF(Entrants!D19="","",Entrants!D19)</f>
        <v/>
      </c>
      <c r="O6" s="359" t="str">
        <f>IF(COUNTBLANK(Entrants!B19)=0,INT(Entrants!AC19),"")</f>
        <v/>
      </c>
      <c r="P6" s="359" t="str">
        <f>IF(COUNTBLANK(Entrants!B19)=1,"",IF(O6&lt;14,"J","S"))</f>
        <v/>
      </c>
      <c r="Q6" s="359" t="str">
        <f>IF(Entrants!B19="","",IF(Entrants!K19="n","PKEF",IF(Entrants!K19="x","K",TRUE)))</f>
        <v/>
      </c>
      <c r="R6" s="359" t="str">
        <f>IF(LEFT(Entrants!L19,1)="Y",TRUE,"")</f>
        <v/>
      </c>
      <c r="S6" s="359" t="str">
        <f>IF(LEFT(Entrants!M19,1)="Y",TRUE,"")</f>
        <v/>
      </c>
      <c r="T6" s="359" t="str">
        <f>IF(LEFT(Entrants!N19,1)="Y",TRUE,"")</f>
        <v/>
      </c>
      <c r="U6" s="359" t="str">
        <f>IF(LEFT(Entrants!O19,1)="Y",TRUE,"")</f>
        <v/>
      </c>
      <c r="V6" s="359" t="str">
        <f>IF(LEFT(Entrants!P19,1)="Y",TRUE,"")</f>
        <v/>
      </c>
      <c r="W6" s="359" t="str">
        <f>IF(Entrants!R19="Open",TRUE,"")</f>
        <v/>
      </c>
      <c r="X6" s="359" t="str">
        <f>IF(Entrants!R19="Sporter",TRUE,"")</f>
        <v/>
      </c>
      <c r="Y6" s="359" t="str">
        <f>IF(COUNTBLANK(Entrants!T19)=1,"",PROPER(Entrants!T19))</f>
        <v/>
      </c>
      <c r="Z6" s="359" t="str">
        <f>IF(LEFT(Entrants!Q19)="Y",TRUE,"")</f>
        <v/>
      </c>
      <c r="AA6" s="359" t="str">
        <f>IF(Entrants!V19="Y",TRUE,"")</f>
        <v/>
      </c>
      <c r="AB6" s="359" t="str">
        <f>IF(LEFT(Entrants!U19)="Y",TRUE,"")</f>
        <v/>
      </c>
      <c r="AC6" s="359" t="str">
        <f>IF(Entrants!W19="A",TRUE,"")</f>
        <v/>
      </c>
      <c r="AD6" s="359" t="str">
        <f>IF(Entrants!W19="B",TRUE,"")</f>
        <v/>
      </c>
      <c r="AE6" s="359" t="str">
        <f>IF(Entrants!X19="A",TRUE,"")</f>
        <v/>
      </c>
      <c r="AF6" s="359" t="str">
        <f>IF(Entrants!X19="B",TRUE,"")</f>
        <v/>
      </c>
      <c r="AG6" s="359" t="str">
        <f>IF(Entrants!X19="X",TRUE,"")</f>
        <v/>
      </c>
      <c r="AH6" s="359" t="str">
        <f>IF(Entrants!L19="Y","",IF(Entrants!L19="","",IF(ISERROR(VLOOKUP( Entrants!L19, Entrants!$P$144:$P$161,1,FALSE)),(Entrants!L19),"")))</f>
        <v/>
      </c>
      <c r="AI6" s="359" t="str">
        <f>IF(Entrants!M19="Y","",IF(Entrants!M19="","",IF(ISERROR(VLOOKUP( Entrants!M19, Entrants!$P$144:$P$161,1,FALSE)),(Entrants!M19),"")))</f>
        <v/>
      </c>
      <c r="AJ6" s="359" t="str">
        <f>IF(Entrants!N19="Y","",IF(Entrants!N19="","",IF(ISERROR(VLOOKUP( Entrants!N19, Entrants!$P$144:$P$161,1,FALSE)),(Entrants!N19),"")))</f>
        <v/>
      </c>
      <c r="AK6" s="359" t="str">
        <f>IF(Entrants!O19="Y","",IF(Entrants!O19="","",IF(ISERROR(VLOOKUP( Entrants!O19, Entrants!$P$144:$P$161,1,FALSE)),(Entrants!O19),"")))</f>
        <v/>
      </c>
      <c r="AL6" s="359" t="str">
        <f>IF(Entrants!P19="Y","",IF(Entrants!P19="","",IF(ISERROR(VLOOKUP( Entrants!P19, Entrants!$P$144:$P$161,1,FALSE)),(Entrants!P19),"")))</f>
        <v/>
      </c>
      <c r="AM6" s="359" t="str">
        <f>IF(LEN(Entrants!Q19)&gt;1,Entrants!Q19,"")</f>
        <v/>
      </c>
      <c r="AN6" s="359" t="str">
        <f>IF(Entrants!S19="Y","",IF(Entrants!S19="","",IF(ISERROR(VLOOKUP( Entrants!S19, Entrants!$P$144:$P$161,1,FALSE)),(Entrants!S19),"")))</f>
        <v/>
      </c>
      <c r="AO6" s="359" t="str">
        <f>IF(LEN(Entrants!U19)&gt;1,Entrants!U19,"")</f>
        <v/>
      </c>
      <c r="AP6" s="439" t="str">
        <f>Entrants!BH19</f>
        <v/>
      </c>
      <c r="AQ6" s="442"/>
      <c r="AR6" s="442"/>
      <c r="AS6" s="442"/>
    </row>
    <row r="7" spans="1:45" s="359" customFormat="1" x14ac:dyDescent="0.25">
      <c r="B7" s="359">
        <f>IF(COUNTBLANK(Entrants!B20)=0,'Team Data'!A$2,0)</f>
        <v>0</v>
      </c>
      <c r="C7" s="359">
        <f>IF(COUNTBLANK(Entrants!B20)=0,Group!$B$8,0)</f>
        <v>0</v>
      </c>
      <c r="E7" s="359" t="str">
        <f>IF(TRIM(PROPER(Entrants!B20))="Zoe","Zoë",TRIM(PROPER(Entrants!B20)))</f>
        <v/>
      </c>
      <c r="F7" s="359" t="str">
        <f>TRIM(PROPER(Entrants!C20))</f>
        <v/>
      </c>
      <c r="G7" s="359">
        <f>IF(AND(Entrants!F20&gt;0,Entrants!F20&lt;1000000000),Entrants!F20,0)</f>
        <v>0</v>
      </c>
      <c r="H7" s="359">
        <f>IF(OR(AND(TYPE(Entrants!G20)=1,Entrants!G20&gt;1000),Entrants!G20="Y"),Entrants!G20,0)</f>
        <v>0</v>
      </c>
      <c r="I7" s="359" t="str">
        <f>UPPER(Entrants!I20)</f>
        <v/>
      </c>
      <c r="J7" s="359" t="str">
        <f>IF(Entrants!E20="F","F","")</f>
        <v/>
      </c>
      <c r="K7" s="359" t="str">
        <f>IF(Entrants!J20="R",TRUE,"")</f>
        <v/>
      </c>
      <c r="L7" s="359" t="str">
        <f>IF(Entrants!K20="X",TRUE,"")</f>
        <v/>
      </c>
      <c r="M7" s="359" t="str">
        <f>IF(Entrants!K20="N",TRUE,"")</f>
        <v/>
      </c>
      <c r="N7" s="361" t="str">
        <f>IF(Entrants!D20="","",Entrants!D20)</f>
        <v/>
      </c>
      <c r="O7" s="359" t="str">
        <f>IF(COUNTBLANK(Entrants!B20)=0,INT(Entrants!AC20),"")</f>
        <v/>
      </c>
      <c r="P7" s="359" t="str">
        <f>IF(COUNTBLANK(Entrants!B20)=1,"",IF(O7&lt;14,"J","S"))</f>
        <v/>
      </c>
      <c r="Q7" s="359" t="str">
        <f>IF(Entrants!B20="","",IF(Entrants!K20="n","PKEF",IF(Entrants!K20="x","K",TRUE)))</f>
        <v/>
      </c>
      <c r="R7" s="359" t="str">
        <f>IF(LEFT(Entrants!L20,1)="Y",TRUE,"")</f>
        <v/>
      </c>
      <c r="S7" s="359" t="str">
        <f>IF(LEFT(Entrants!M20,1)="Y",TRUE,"")</f>
        <v/>
      </c>
      <c r="T7" s="359" t="str">
        <f>IF(LEFT(Entrants!N20,1)="Y",TRUE,"")</f>
        <v/>
      </c>
      <c r="U7" s="359" t="str">
        <f>IF(LEFT(Entrants!O20,1)="Y",TRUE,"")</f>
        <v/>
      </c>
      <c r="V7" s="359" t="str">
        <f>IF(LEFT(Entrants!P20,1)="Y",TRUE,"")</f>
        <v/>
      </c>
      <c r="W7" s="359" t="str">
        <f>IF(Entrants!R20="Open",TRUE,"")</f>
        <v/>
      </c>
      <c r="X7" s="359" t="str">
        <f>IF(Entrants!R20="Sporter",TRUE,"")</f>
        <v/>
      </c>
      <c r="Y7" s="359" t="str">
        <f>IF(COUNTBLANK(Entrants!T20)=1,"",PROPER(Entrants!T20))</f>
        <v/>
      </c>
      <c r="Z7" s="359" t="str">
        <f>IF(LEFT(Entrants!Q20)="Y",TRUE,"")</f>
        <v/>
      </c>
      <c r="AA7" s="359" t="str">
        <f>IF(Entrants!V20="Y",TRUE,"")</f>
        <v/>
      </c>
      <c r="AB7" s="359" t="str">
        <f>IF(LEFT(Entrants!U20)="Y",TRUE,"")</f>
        <v/>
      </c>
      <c r="AC7" s="359" t="str">
        <f>IF(Entrants!W20="A",TRUE,"")</f>
        <v/>
      </c>
      <c r="AD7" s="359" t="str">
        <f>IF(Entrants!W20="B",TRUE,"")</f>
        <v/>
      </c>
      <c r="AE7" s="359" t="str">
        <f>IF(Entrants!X20="A",TRUE,"")</f>
        <v/>
      </c>
      <c r="AF7" s="359" t="str">
        <f>IF(Entrants!X20="B",TRUE,"")</f>
        <v/>
      </c>
      <c r="AG7" s="359" t="str">
        <f>IF(Entrants!X20="X",TRUE,"")</f>
        <v/>
      </c>
      <c r="AH7" s="359" t="str">
        <f>IF(Entrants!L20="Y","",IF(Entrants!L20="","",IF(ISERROR(VLOOKUP( Entrants!L20, Entrants!$P$144:$P$161,1,FALSE)),(Entrants!L20),"")))</f>
        <v/>
      </c>
      <c r="AI7" s="359" t="str">
        <f>IF(Entrants!M20="Y","",IF(Entrants!M20="","",IF(ISERROR(VLOOKUP( Entrants!M20, Entrants!$P$144:$P$161,1,FALSE)),(Entrants!M20),"")))</f>
        <v/>
      </c>
      <c r="AJ7" s="359" t="str">
        <f>IF(Entrants!N20="Y","",IF(Entrants!N20="","",IF(ISERROR(VLOOKUP( Entrants!N20, Entrants!$P$144:$P$161,1,FALSE)),(Entrants!N20),"")))</f>
        <v/>
      </c>
      <c r="AK7" s="359" t="str">
        <f>IF(Entrants!O20="Y","",IF(Entrants!O20="","",IF(ISERROR(VLOOKUP( Entrants!O20, Entrants!$P$144:$P$161,1,FALSE)),(Entrants!O20),"")))</f>
        <v/>
      </c>
      <c r="AL7" s="359" t="str">
        <f>IF(Entrants!P20="Y","",IF(Entrants!P20="","",IF(ISERROR(VLOOKUP( Entrants!P20, Entrants!$P$144:$P$161,1,FALSE)),(Entrants!P20),"")))</f>
        <v/>
      </c>
      <c r="AM7" s="359" t="str">
        <f>IF(LEN(Entrants!Q20)&gt;1,Entrants!Q20,"")</f>
        <v/>
      </c>
      <c r="AN7" s="359" t="str">
        <f>IF(Entrants!S20="Y","",IF(Entrants!S20="","",IF(ISERROR(VLOOKUP( Entrants!S20, Entrants!$P$144:$P$161,1,FALSE)),(Entrants!S20),"")))</f>
        <v/>
      </c>
      <c r="AO7" s="359" t="str">
        <f>IF(LEN(Entrants!U20)&gt;1,Entrants!U20,"")</f>
        <v/>
      </c>
      <c r="AP7" s="439" t="str">
        <f>Entrants!BH20</f>
        <v/>
      </c>
      <c r="AQ7" s="442"/>
      <c r="AR7" s="442"/>
      <c r="AS7" s="442"/>
    </row>
    <row r="8" spans="1:45" s="359" customFormat="1" x14ac:dyDescent="0.25">
      <c r="B8" s="359">
        <f>IF(COUNTBLANK(Entrants!B21)=0,'Team Data'!A$2,0)</f>
        <v>0</v>
      </c>
      <c r="C8" s="359">
        <f>IF(COUNTBLANK(Entrants!B21)=0,Group!$B$8,0)</f>
        <v>0</v>
      </c>
      <c r="E8" s="359" t="str">
        <f>IF(TRIM(PROPER(Entrants!B21))="Zoe","Zoë",TRIM(PROPER(Entrants!B21)))</f>
        <v/>
      </c>
      <c r="F8" s="359" t="str">
        <f>TRIM(PROPER(Entrants!C21))</f>
        <v/>
      </c>
      <c r="G8" s="359">
        <f>IF(AND(Entrants!F21&gt;0,Entrants!F21&lt;1000000000),Entrants!F21,0)</f>
        <v>0</v>
      </c>
      <c r="H8" s="359">
        <f>IF(OR(AND(TYPE(Entrants!G21)=1,Entrants!G21&gt;1000),Entrants!G21="Y"),Entrants!G21,0)</f>
        <v>0</v>
      </c>
      <c r="I8" s="359" t="str">
        <f>UPPER(Entrants!I21)</f>
        <v/>
      </c>
      <c r="J8" s="359" t="str">
        <f>IF(Entrants!E21="F","F","")</f>
        <v/>
      </c>
      <c r="K8" s="359" t="str">
        <f>IF(Entrants!J21="R",TRUE,"")</f>
        <v/>
      </c>
      <c r="L8" s="359" t="str">
        <f>IF(Entrants!K21="X",TRUE,"")</f>
        <v/>
      </c>
      <c r="M8" s="359" t="str">
        <f>IF(Entrants!K21="N",TRUE,"")</f>
        <v/>
      </c>
      <c r="N8" s="361" t="str">
        <f>IF(Entrants!D21="","",Entrants!D21)</f>
        <v/>
      </c>
      <c r="O8" s="359" t="str">
        <f>IF(COUNTBLANK(Entrants!B21)=0,INT(Entrants!AC21),"")</f>
        <v/>
      </c>
      <c r="P8" s="359" t="str">
        <f>IF(COUNTBLANK(Entrants!B21)=1,"",IF(O8&lt;14,"J","S"))</f>
        <v/>
      </c>
      <c r="Q8" s="359" t="str">
        <f>IF(Entrants!B21="","",IF(Entrants!K21="n","PKEF",IF(Entrants!K21="x","K",TRUE)))</f>
        <v/>
      </c>
      <c r="R8" s="359" t="str">
        <f>IF(LEFT(Entrants!L21,1)="Y",TRUE,"")</f>
        <v/>
      </c>
      <c r="S8" s="359" t="str">
        <f>IF(LEFT(Entrants!M21,1)="Y",TRUE,"")</f>
        <v/>
      </c>
      <c r="T8" s="359" t="str">
        <f>IF(LEFT(Entrants!N21,1)="Y",TRUE,"")</f>
        <v/>
      </c>
      <c r="U8" s="359" t="str">
        <f>IF(LEFT(Entrants!O21,1)="Y",TRUE,"")</f>
        <v/>
      </c>
      <c r="V8" s="359" t="str">
        <f>IF(LEFT(Entrants!P21,1)="Y",TRUE,"")</f>
        <v/>
      </c>
      <c r="W8" s="359" t="str">
        <f>IF(Entrants!R21="Open",TRUE,"")</f>
        <v/>
      </c>
      <c r="X8" s="359" t="str">
        <f>IF(Entrants!R21="Sporter",TRUE,"")</f>
        <v/>
      </c>
      <c r="Y8" s="359" t="str">
        <f>IF(COUNTBLANK(Entrants!T21)=1,"",PROPER(Entrants!T21))</f>
        <v/>
      </c>
      <c r="Z8" s="359" t="str">
        <f>IF(LEFT(Entrants!Q21)="Y",TRUE,"")</f>
        <v/>
      </c>
      <c r="AA8" s="359" t="str">
        <f>IF(Entrants!V21="Y",TRUE,"")</f>
        <v/>
      </c>
      <c r="AB8" s="359" t="str">
        <f>IF(LEFT(Entrants!U21)="Y",TRUE,"")</f>
        <v/>
      </c>
      <c r="AC8" s="359" t="str">
        <f>IF(Entrants!W21="A",TRUE,"")</f>
        <v/>
      </c>
      <c r="AD8" s="359" t="str">
        <f>IF(Entrants!W21="B",TRUE,"")</f>
        <v/>
      </c>
      <c r="AE8" s="359" t="str">
        <f>IF(Entrants!X21="A",TRUE,"")</f>
        <v/>
      </c>
      <c r="AF8" s="359" t="str">
        <f>IF(Entrants!X21="B",TRUE,"")</f>
        <v/>
      </c>
      <c r="AG8" s="359" t="str">
        <f>IF(Entrants!X21="X",TRUE,"")</f>
        <v/>
      </c>
      <c r="AH8" s="359" t="str">
        <f>IF(Entrants!L21="Y","",IF(Entrants!L21="","",IF(ISERROR(VLOOKUP( Entrants!L21, Entrants!$P$144:$P$161,1,FALSE)),(Entrants!L21),"")))</f>
        <v/>
      </c>
      <c r="AI8" s="359" t="str">
        <f>IF(Entrants!M21="Y","",IF(Entrants!M21="","",IF(ISERROR(VLOOKUP( Entrants!M21, Entrants!$P$144:$P$161,1,FALSE)),(Entrants!M21),"")))</f>
        <v/>
      </c>
      <c r="AJ8" s="359" t="str">
        <f>IF(Entrants!N21="Y","",IF(Entrants!N21="","",IF(ISERROR(VLOOKUP( Entrants!N21, Entrants!$P$144:$P$161,1,FALSE)),(Entrants!N21),"")))</f>
        <v/>
      </c>
      <c r="AK8" s="359" t="str">
        <f>IF(Entrants!O21="Y","",IF(Entrants!O21="","",IF(ISERROR(VLOOKUP( Entrants!O21, Entrants!$P$144:$P$161,1,FALSE)),(Entrants!O21),"")))</f>
        <v/>
      </c>
      <c r="AL8" s="359" t="str">
        <f>IF(Entrants!P21="Y","",IF(Entrants!P21="","",IF(ISERROR(VLOOKUP( Entrants!P21, Entrants!$P$144:$P$161,1,FALSE)),(Entrants!P21),"")))</f>
        <v/>
      </c>
      <c r="AM8" s="359" t="str">
        <f>IF(LEN(Entrants!Q21)&gt;1,Entrants!Q21,"")</f>
        <v/>
      </c>
      <c r="AN8" s="359" t="str">
        <f>IF(Entrants!S21="Y","",IF(Entrants!S21="","",IF(ISERROR(VLOOKUP( Entrants!S21, Entrants!$P$144:$P$161,1,FALSE)),(Entrants!S21),"")))</f>
        <v/>
      </c>
      <c r="AO8" s="359" t="str">
        <f>IF(LEN(Entrants!U21)&gt;1,Entrants!U21,"")</f>
        <v/>
      </c>
      <c r="AP8" s="439" t="str">
        <f>Entrants!BH21</f>
        <v/>
      </c>
      <c r="AQ8" s="442"/>
      <c r="AR8" s="442"/>
      <c r="AS8" s="442"/>
    </row>
    <row r="9" spans="1:45" s="359" customFormat="1" x14ac:dyDescent="0.25">
      <c r="B9" s="359">
        <f>IF(COUNTBLANK(Entrants!B22)=0,'Team Data'!A$2,0)</f>
        <v>0</v>
      </c>
      <c r="C9" s="359">
        <f>IF(COUNTBLANK(Entrants!B22)=0,Group!$B$8,0)</f>
        <v>0</v>
      </c>
      <c r="E9" s="359" t="str">
        <f>IF(TRIM(PROPER(Entrants!B22))="Zoe","Zoë",TRIM(PROPER(Entrants!B22)))</f>
        <v/>
      </c>
      <c r="F9" s="359" t="str">
        <f>TRIM(PROPER(Entrants!C22))</f>
        <v/>
      </c>
      <c r="G9" s="359">
        <f>IF(AND(Entrants!F22&gt;0,Entrants!F22&lt;1000000000),Entrants!F22,0)</f>
        <v>0</v>
      </c>
      <c r="H9" s="359">
        <f>IF(OR(AND(TYPE(Entrants!G22)=1,Entrants!G22&gt;1000),Entrants!G22="Y"),Entrants!G22,0)</f>
        <v>0</v>
      </c>
      <c r="I9" s="359" t="str">
        <f>UPPER(Entrants!I22)</f>
        <v/>
      </c>
      <c r="J9" s="359" t="str">
        <f>IF(Entrants!E22="F","F","")</f>
        <v/>
      </c>
      <c r="K9" s="359" t="str">
        <f>IF(Entrants!J22="R",TRUE,"")</f>
        <v/>
      </c>
      <c r="L9" s="359" t="str">
        <f>IF(Entrants!K22="X",TRUE,"")</f>
        <v/>
      </c>
      <c r="M9" s="359" t="str">
        <f>IF(Entrants!K22="N",TRUE,"")</f>
        <v/>
      </c>
      <c r="N9" s="361" t="str">
        <f>IF(Entrants!D22="","",Entrants!D22)</f>
        <v/>
      </c>
      <c r="O9" s="359" t="str">
        <f>IF(COUNTBLANK(Entrants!B22)=0,INT(Entrants!AC22),"")</f>
        <v/>
      </c>
      <c r="P9" s="359" t="str">
        <f>IF(COUNTBLANK(Entrants!B22)=1,"",IF(O9&lt;14,"J","S"))</f>
        <v/>
      </c>
      <c r="Q9" s="359" t="str">
        <f>IF(Entrants!B22="","",IF(Entrants!K22="n","PKEF",IF(Entrants!K22="x","K",TRUE)))</f>
        <v/>
      </c>
      <c r="R9" s="359" t="str">
        <f>IF(LEFT(Entrants!L22,1)="Y",TRUE,"")</f>
        <v/>
      </c>
      <c r="S9" s="359" t="str">
        <f>IF(LEFT(Entrants!M22,1)="Y",TRUE,"")</f>
        <v/>
      </c>
      <c r="T9" s="359" t="str">
        <f>IF(LEFT(Entrants!N22,1)="Y",TRUE,"")</f>
        <v/>
      </c>
      <c r="U9" s="359" t="str">
        <f>IF(LEFT(Entrants!O22,1)="Y",TRUE,"")</f>
        <v/>
      </c>
      <c r="V9" s="359" t="str">
        <f>IF(LEFT(Entrants!P22,1)="Y",TRUE,"")</f>
        <v/>
      </c>
      <c r="W9" s="359" t="str">
        <f>IF(Entrants!R22="Open",TRUE,"")</f>
        <v/>
      </c>
      <c r="X9" s="359" t="str">
        <f>IF(Entrants!R22="Sporter",TRUE,"")</f>
        <v/>
      </c>
      <c r="Y9" s="359" t="str">
        <f>IF(COUNTBLANK(Entrants!T22)=1,"",PROPER(Entrants!T22))</f>
        <v/>
      </c>
      <c r="Z9" s="359" t="str">
        <f>IF(LEFT(Entrants!Q22)="Y",TRUE,"")</f>
        <v/>
      </c>
      <c r="AA9" s="359" t="str">
        <f>IF(Entrants!V22="Y",TRUE,"")</f>
        <v/>
      </c>
      <c r="AB9" s="359" t="str">
        <f>IF(LEFT(Entrants!U22)="Y",TRUE,"")</f>
        <v/>
      </c>
      <c r="AC9" s="359" t="str">
        <f>IF(Entrants!W22="A",TRUE,"")</f>
        <v/>
      </c>
      <c r="AD9" s="359" t="str">
        <f>IF(Entrants!W22="B",TRUE,"")</f>
        <v/>
      </c>
      <c r="AE9" s="359" t="str">
        <f>IF(Entrants!X22="A",TRUE,"")</f>
        <v/>
      </c>
      <c r="AF9" s="359" t="str">
        <f>IF(Entrants!X22="B",TRUE,"")</f>
        <v/>
      </c>
      <c r="AG9" s="359" t="str">
        <f>IF(Entrants!X22="X",TRUE,"")</f>
        <v/>
      </c>
      <c r="AH9" s="359" t="str">
        <f>IF(Entrants!L22="Y","",IF(Entrants!L22="","",IF(ISERROR(VLOOKUP( Entrants!L22, Entrants!$P$144:$P$161,1,FALSE)),(Entrants!L22),"")))</f>
        <v/>
      </c>
      <c r="AI9" s="359" t="str">
        <f>IF(Entrants!M22="Y","",IF(Entrants!M22="","",IF(ISERROR(VLOOKUP( Entrants!M22, Entrants!$P$144:$P$161,1,FALSE)),(Entrants!M22),"")))</f>
        <v/>
      </c>
      <c r="AJ9" s="359" t="str">
        <f>IF(Entrants!N22="Y","",IF(Entrants!N22="","",IF(ISERROR(VLOOKUP( Entrants!N22, Entrants!$P$144:$P$161,1,FALSE)),(Entrants!N22),"")))</f>
        <v/>
      </c>
      <c r="AK9" s="359" t="str">
        <f>IF(Entrants!O22="Y","",IF(Entrants!O22="","",IF(ISERROR(VLOOKUP( Entrants!O22, Entrants!$P$144:$P$161,1,FALSE)),(Entrants!O22),"")))</f>
        <v/>
      </c>
      <c r="AL9" s="359" t="str">
        <f>IF(Entrants!P22="Y","",IF(Entrants!P22="","",IF(ISERROR(VLOOKUP( Entrants!P22, Entrants!$P$144:$P$161,1,FALSE)),(Entrants!P22),"")))</f>
        <v/>
      </c>
      <c r="AM9" s="359" t="str">
        <f>IF(LEN(Entrants!Q22)&gt;1,Entrants!Q22,"")</f>
        <v/>
      </c>
      <c r="AN9" s="359" t="str">
        <f>IF(Entrants!S22="Y","",IF(Entrants!S22="","",IF(ISERROR(VLOOKUP( Entrants!S22, Entrants!$P$144:$P$161,1,FALSE)),(Entrants!S22),"")))</f>
        <v/>
      </c>
      <c r="AO9" s="359" t="str">
        <f>IF(LEN(Entrants!U22)&gt;1,Entrants!U22,"")</f>
        <v/>
      </c>
      <c r="AP9" s="439" t="str">
        <f>Entrants!BH22</f>
        <v/>
      </c>
      <c r="AQ9" s="442"/>
      <c r="AR9" s="442"/>
      <c r="AS9" s="442"/>
    </row>
    <row r="10" spans="1:45" s="359" customFormat="1" x14ac:dyDescent="0.25">
      <c r="B10" s="359">
        <f>IF(COUNTBLANK(Entrants!B23)=0,'Team Data'!A$2,0)</f>
        <v>0</v>
      </c>
      <c r="C10" s="359">
        <f>IF(COUNTBLANK(Entrants!B23)=0,Group!$B$8,0)</f>
        <v>0</v>
      </c>
      <c r="E10" s="359" t="str">
        <f>IF(TRIM(PROPER(Entrants!B23))="Zoe","Zoë",TRIM(PROPER(Entrants!B23)))</f>
        <v/>
      </c>
      <c r="F10" s="359" t="str">
        <f>TRIM(PROPER(Entrants!C23))</f>
        <v/>
      </c>
      <c r="G10" s="359">
        <f>IF(AND(Entrants!F23&gt;0,Entrants!F23&lt;1000000000),Entrants!F23,0)</f>
        <v>0</v>
      </c>
      <c r="H10" s="359">
        <f>IF(OR(AND(TYPE(Entrants!G23)=1,Entrants!G23&gt;1000),Entrants!G23="Y"),Entrants!G23,0)</f>
        <v>0</v>
      </c>
      <c r="I10" s="359" t="str">
        <f>UPPER(Entrants!I23)</f>
        <v/>
      </c>
      <c r="J10" s="359" t="str">
        <f>IF(Entrants!E23="F","F","")</f>
        <v/>
      </c>
      <c r="K10" s="359" t="str">
        <f>IF(Entrants!J23="R",TRUE,"")</f>
        <v/>
      </c>
      <c r="L10" s="359" t="str">
        <f>IF(Entrants!K23="X",TRUE,"")</f>
        <v/>
      </c>
      <c r="M10" s="359" t="str">
        <f>IF(Entrants!K23="N",TRUE,"")</f>
        <v/>
      </c>
      <c r="N10" s="361" t="str">
        <f>IF(Entrants!D23="","",Entrants!D23)</f>
        <v/>
      </c>
      <c r="O10" s="359" t="str">
        <f>IF(COUNTBLANK(Entrants!B23)=0,INT(Entrants!AC23),"")</f>
        <v/>
      </c>
      <c r="P10" s="359" t="str">
        <f>IF(COUNTBLANK(Entrants!B23)=1,"",IF(O10&lt;14,"J","S"))</f>
        <v/>
      </c>
      <c r="Q10" s="359" t="str">
        <f>IF(Entrants!B23="","",IF(Entrants!K23="n","PKEF",IF(Entrants!K23="x","K",TRUE)))</f>
        <v/>
      </c>
      <c r="R10" s="359" t="str">
        <f>IF(LEFT(Entrants!L23,1)="Y",TRUE,"")</f>
        <v/>
      </c>
      <c r="S10" s="359" t="str">
        <f>IF(LEFT(Entrants!M23,1)="Y",TRUE,"")</f>
        <v/>
      </c>
      <c r="T10" s="359" t="str">
        <f>IF(LEFT(Entrants!N23,1)="Y",TRUE,"")</f>
        <v/>
      </c>
      <c r="U10" s="359" t="str">
        <f>IF(LEFT(Entrants!O23,1)="Y",TRUE,"")</f>
        <v/>
      </c>
      <c r="V10" s="359" t="str">
        <f>IF(LEFT(Entrants!P23,1)="Y",TRUE,"")</f>
        <v/>
      </c>
      <c r="W10" s="359" t="str">
        <f>IF(Entrants!R23="Open",TRUE,"")</f>
        <v/>
      </c>
      <c r="X10" s="359" t="str">
        <f>IF(Entrants!R23="Sporter",TRUE,"")</f>
        <v/>
      </c>
      <c r="Y10" s="359" t="str">
        <f>IF(COUNTBLANK(Entrants!T23)=1,"",PROPER(Entrants!T23))</f>
        <v/>
      </c>
      <c r="Z10" s="359" t="str">
        <f>IF(LEFT(Entrants!Q23)="Y",TRUE,"")</f>
        <v/>
      </c>
      <c r="AA10" s="359" t="str">
        <f>IF(Entrants!V23="Y",TRUE,"")</f>
        <v/>
      </c>
      <c r="AB10" s="359" t="str">
        <f>IF(LEFT(Entrants!U23)="Y",TRUE,"")</f>
        <v/>
      </c>
      <c r="AC10" s="359" t="str">
        <f>IF(Entrants!W23="A",TRUE,"")</f>
        <v/>
      </c>
      <c r="AD10" s="359" t="str">
        <f>IF(Entrants!W23="B",TRUE,"")</f>
        <v/>
      </c>
      <c r="AE10" s="359" t="str">
        <f>IF(Entrants!X23="A",TRUE,"")</f>
        <v/>
      </c>
      <c r="AF10" s="359" t="str">
        <f>IF(Entrants!X23="B",TRUE,"")</f>
        <v/>
      </c>
      <c r="AG10" s="359" t="str">
        <f>IF(Entrants!X23="X",TRUE,"")</f>
        <v/>
      </c>
      <c r="AH10" s="359" t="str">
        <f>IF(Entrants!L23="Y","",IF(Entrants!L23="","",IF(ISERROR(VLOOKUP( Entrants!L23, Entrants!$P$144:$P$161,1,FALSE)),(Entrants!L23),"")))</f>
        <v/>
      </c>
      <c r="AI10" s="359" t="str">
        <f>IF(Entrants!M23="Y","",IF(Entrants!M23="","",IF(ISERROR(VLOOKUP( Entrants!M23, Entrants!$P$144:$P$161,1,FALSE)),(Entrants!M23),"")))</f>
        <v/>
      </c>
      <c r="AJ10" s="359" t="str">
        <f>IF(Entrants!N23="Y","",IF(Entrants!N23="","",IF(ISERROR(VLOOKUP( Entrants!N23, Entrants!$P$144:$P$161,1,FALSE)),(Entrants!N23),"")))</f>
        <v/>
      </c>
      <c r="AK10" s="359" t="str">
        <f>IF(Entrants!O23="Y","",IF(Entrants!O23="","",IF(ISERROR(VLOOKUP( Entrants!O23, Entrants!$P$144:$P$161,1,FALSE)),(Entrants!O23),"")))</f>
        <v/>
      </c>
      <c r="AL10" s="359" t="str">
        <f>IF(Entrants!P23="Y","",IF(Entrants!P23="","",IF(ISERROR(VLOOKUP( Entrants!P23, Entrants!$P$144:$P$161,1,FALSE)),(Entrants!P23),"")))</f>
        <v/>
      </c>
      <c r="AM10" s="359" t="str">
        <f>IF(LEN(Entrants!Q23)&gt;1,Entrants!Q23,"")</f>
        <v/>
      </c>
      <c r="AN10" s="359" t="str">
        <f>IF(Entrants!S23="Y","",IF(Entrants!S23="","",IF(ISERROR(VLOOKUP( Entrants!S23, Entrants!$P$144:$P$161,1,FALSE)),(Entrants!S23),"")))</f>
        <v/>
      </c>
      <c r="AO10" s="359" t="str">
        <f>IF(LEN(Entrants!U23)&gt;1,Entrants!U23,"")</f>
        <v/>
      </c>
      <c r="AP10" s="439" t="str">
        <f>Entrants!BH23</f>
        <v/>
      </c>
      <c r="AQ10" s="442"/>
      <c r="AR10" s="442"/>
      <c r="AS10" s="442"/>
    </row>
    <row r="11" spans="1:45" s="359" customFormat="1" x14ac:dyDescent="0.25">
      <c r="B11" s="359">
        <f>IF(COUNTBLANK(Entrants!B24)=0,'Team Data'!A$2,0)</f>
        <v>0</v>
      </c>
      <c r="C11" s="359">
        <f>IF(COUNTBLANK(Entrants!B24)=0,Group!$B$8,0)</f>
        <v>0</v>
      </c>
      <c r="E11" s="359" t="str">
        <f>IF(TRIM(PROPER(Entrants!B24))="Zoe","Zoë",TRIM(PROPER(Entrants!B24)))</f>
        <v/>
      </c>
      <c r="F11" s="359" t="str">
        <f>TRIM(PROPER(Entrants!C24))</f>
        <v/>
      </c>
      <c r="G11" s="359">
        <f>IF(AND(Entrants!F24&gt;0,Entrants!F24&lt;1000000000),Entrants!F24,0)</f>
        <v>0</v>
      </c>
      <c r="H11" s="359">
        <f>IF(OR(AND(TYPE(Entrants!G24)=1,Entrants!G24&gt;1000),Entrants!G24="Y"),Entrants!G24,0)</f>
        <v>0</v>
      </c>
      <c r="I11" s="359" t="str">
        <f>UPPER(Entrants!I24)</f>
        <v/>
      </c>
      <c r="J11" s="359" t="str">
        <f>IF(Entrants!E24="F","F","")</f>
        <v/>
      </c>
      <c r="K11" s="359" t="str">
        <f>IF(Entrants!J24="R",TRUE,"")</f>
        <v/>
      </c>
      <c r="L11" s="359" t="str">
        <f>IF(Entrants!K24="X",TRUE,"")</f>
        <v/>
      </c>
      <c r="M11" s="359" t="str">
        <f>IF(Entrants!K24="N",TRUE,"")</f>
        <v/>
      </c>
      <c r="N11" s="361" t="str">
        <f>IF(Entrants!D24="","",Entrants!D24)</f>
        <v/>
      </c>
      <c r="O11" s="359" t="str">
        <f>IF(COUNTBLANK(Entrants!B24)=0,INT(Entrants!AC24),"")</f>
        <v/>
      </c>
      <c r="P11" s="359" t="str">
        <f>IF(COUNTBLANK(Entrants!B24)=1,"",IF(O11&lt;14,"J","S"))</f>
        <v/>
      </c>
      <c r="Q11" s="359" t="str">
        <f>IF(Entrants!B24="","",IF(Entrants!K24="n","PKEF",IF(Entrants!K24="x","K",TRUE)))</f>
        <v/>
      </c>
      <c r="R11" s="359" t="str">
        <f>IF(LEFT(Entrants!L24,1)="Y",TRUE,"")</f>
        <v/>
      </c>
      <c r="S11" s="359" t="str">
        <f>IF(LEFT(Entrants!M24,1)="Y",TRUE,"")</f>
        <v/>
      </c>
      <c r="T11" s="359" t="str">
        <f>IF(LEFT(Entrants!N24,1)="Y",TRUE,"")</f>
        <v/>
      </c>
      <c r="U11" s="359" t="str">
        <f>IF(LEFT(Entrants!O24,1)="Y",TRUE,"")</f>
        <v/>
      </c>
      <c r="V11" s="359" t="str">
        <f>IF(LEFT(Entrants!P24,1)="Y",TRUE,"")</f>
        <v/>
      </c>
      <c r="W11" s="359" t="str">
        <f>IF(Entrants!R24="Open",TRUE,"")</f>
        <v/>
      </c>
      <c r="X11" s="359" t="str">
        <f>IF(Entrants!R24="Sporter",TRUE,"")</f>
        <v/>
      </c>
      <c r="Y11" s="359" t="str">
        <f>IF(COUNTBLANK(Entrants!T24)=1,"",PROPER(Entrants!T24))</f>
        <v/>
      </c>
      <c r="Z11" s="359" t="str">
        <f>IF(LEFT(Entrants!Q24)="Y",TRUE,"")</f>
        <v/>
      </c>
      <c r="AA11" s="359" t="str">
        <f>IF(Entrants!V24="Y",TRUE,"")</f>
        <v/>
      </c>
      <c r="AB11" s="359" t="str">
        <f>IF(LEFT(Entrants!U24)="Y",TRUE,"")</f>
        <v/>
      </c>
      <c r="AC11" s="359" t="str">
        <f>IF(Entrants!W24="A",TRUE,"")</f>
        <v/>
      </c>
      <c r="AD11" s="359" t="str">
        <f>IF(Entrants!W24="B",TRUE,"")</f>
        <v/>
      </c>
      <c r="AE11" s="359" t="str">
        <f>IF(Entrants!X24="A",TRUE,"")</f>
        <v/>
      </c>
      <c r="AF11" s="359" t="str">
        <f>IF(Entrants!X24="B",TRUE,"")</f>
        <v/>
      </c>
      <c r="AG11" s="359" t="str">
        <f>IF(Entrants!X24="X",TRUE,"")</f>
        <v/>
      </c>
      <c r="AH11" s="359" t="str">
        <f>IF(Entrants!L24="Y","",IF(Entrants!L24="","",IF(ISERROR(VLOOKUP( Entrants!L24, Entrants!$P$144:$P$161,1,FALSE)),(Entrants!L24),"")))</f>
        <v/>
      </c>
      <c r="AI11" s="359" t="str">
        <f>IF(Entrants!M24="Y","",IF(Entrants!M24="","",IF(ISERROR(VLOOKUP( Entrants!M24, Entrants!$P$144:$P$161,1,FALSE)),(Entrants!M24),"")))</f>
        <v/>
      </c>
      <c r="AJ11" s="359" t="str">
        <f>IF(Entrants!N24="Y","",IF(Entrants!N24="","",IF(ISERROR(VLOOKUP( Entrants!N24, Entrants!$P$144:$P$161,1,FALSE)),(Entrants!N24),"")))</f>
        <v/>
      </c>
      <c r="AK11" s="359" t="str">
        <f>IF(Entrants!O24="Y","",IF(Entrants!O24="","",IF(ISERROR(VLOOKUP( Entrants!O24, Entrants!$P$144:$P$161,1,FALSE)),(Entrants!O24),"")))</f>
        <v/>
      </c>
      <c r="AL11" s="359" t="str">
        <f>IF(Entrants!P24="Y","",IF(Entrants!P24="","",IF(ISERROR(VLOOKUP( Entrants!P24, Entrants!$P$144:$P$161,1,FALSE)),(Entrants!P24),"")))</f>
        <v/>
      </c>
      <c r="AM11" s="359" t="str">
        <f>IF(LEN(Entrants!Q24)&gt;1,Entrants!Q24,"")</f>
        <v/>
      </c>
      <c r="AN11" s="359" t="str">
        <f>IF(Entrants!S24="Y","",IF(Entrants!S24="","",IF(ISERROR(VLOOKUP( Entrants!S24, Entrants!$P$144:$P$161,1,FALSE)),(Entrants!S24),"")))</f>
        <v/>
      </c>
      <c r="AO11" s="359" t="str">
        <f>IF(LEN(Entrants!U24)&gt;1,Entrants!U24,"")</f>
        <v/>
      </c>
      <c r="AP11" s="439" t="str">
        <f>Entrants!BH24</f>
        <v/>
      </c>
      <c r="AQ11" s="442"/>
      <c r="AR11" s="442"/>
      <c r="AS11" s="442"/>
    </row>
    <row r="12" spans="1:45" s="359" customFormat="1" x14ac:dyDescent="0.25">
      <c r="B12" s="359">
        <f>IF(COUNTBLANK(Entrants!B25)=0,'Team Data'!A$2,0)</f>
        <v>0</v>
      </c>
      <c r="C12" s="359">
        <f>IF(COUNTBLANK(Entrants!B25)=0,Group!$B$8,0)</f>
        <v>0</v>
      </c>
      <c r="E12" s="359" t="str">
        <f>IF(TRIM(PROPER(Entrants!B25))="Zoe","Zoë",TRIM(PROPER(Entrants!B25)))</f>
        <v/>
      </c>
      <c r="F12" s="359" t="str">
        <f>TRIM(PROPER(Entrants!C25))</f>
        <v/>
      </c>
      <c r="G12" s="359">
        <f>IF(AND(Entrants!F25&gt;0,Entrants!F25&lt;1000000000),Entrants!F25,0)</f>
        <v>0</v>
      </c>
      <c r="H12" s="359">
        <f>IF(OR(AND(TYPE(Entrants!G25)=1,Entrants!G25&gt;1000),Entrants!G25="Y"),Entrants!G25,0)</f>
        <v>0</v>
      </c>
      <c r="I12" s="359" t="str">
        <f>UPPER(Entrants!I25)</f>
        <v/>
      </c>
      <c r="J12" s="359" t="str">
        <f>IF(Entrants!E25="F","F","")</f>
        <v/>
      </c>
      <c r="K12" s="359" t="str">
        <f>IF(Entrants!J25="R",TRUE,"")</f>
        <v/>
      </c>
      <c r="L12" s="359" t="str">
        <f>IF(Entrants!K25="X",TRUE,"")</f>
        <v/>
      </c>
      <c r="M12" s="359" t="str">
        <f>IF(Entrants!K25="N",TRUE,"")</f>
        <v/>
      </c>
      <c r="N12" s="361" t="str">
        <f>IF(Entrants!D25="","",Entrants!D25)</f>
        <v/>
      </c>
      <c r="O12" s="359" t="str">
        <f>IF(COUNTBLANK(Entrants!B25)=0,INT(Entrants!AC25),"")</f>
        <v/>
      </c>
      <c r="P12" s="359" t="str">
        <f>IF(COUNTBLANK(Entrants!B25)=1,"",IF(O12&lt;14,"J","S"))</f>
        <v/>
      </c>
      <c r="Q12" s="359" t="str">
        <f>IF(Entrants!B25="","",IF(Entrants!K25="n","PKEF",IF(Entrants!K25="x","K",TRUE)))</f>
        <v/>
      </c>
      <c r="R12" s="359" t="str">
        <f>IF(LEFT(Entrants!L25,1)="Y",TRUE,"")</f>
        <v/>
      </c>
      <c r="S12" s="359" t="str">
        <f>IF(LEFT(Entrants!M25,1)="Y",TRUE,"")</f>
        <v/>
      </c>
      <c r="T12" s="359" t="str">
        <f>IF(LEFT(Entrants!N25,1)="Y",TRUE,"")</f>
        <v/>
      </c>
      <c r="U12" s="359" t="str">
        <f>IF(LEFT(Entrants!O25,1)="Y",TRUE,"")</f>
        <v/>
      </c>
      <c r="V12" s="359" t="str">
        <f>IF(LEFT(Entrants!P25,1)="Y",TRUE,"")</f>
        <v/>
      </c>
      <c r="W12" s="359" t="str">
        <f>IF(Entrants!R25="Open",TRUE,"")</f>
        <v/>
      </c>
      <c r="X12" s="359" t="str">
        <f>IF(Entrants!R25="Sporter",TRUE,"")</f>
        <v/>
      </c>
      <c r="Y12" s="359" t="str">
        <f>IF(COUNTBLANK(Entrants!T25)=1,"",PROPER(Entrants!T25))</f>
        <v/>
      </c>
      <c r="Z12" s="359" t="str">
        <f>IF(LEFT(Entrants!Q25)="Y",TRUE,"")</f>
        <v/>
      </c>
      <c r="AA12" s="359" t="str">
        <f>IF(Entrants!V25="Y",TRUE,"")</f>
        <v/>
      </c>
      <c r="AB12" s="359" t="str">
        <f>IF(LEFT(Entrants!U25)="Y",TRUE,"")</f>
        <v/>
      </c>
      <c r="AC12" s="359" t="str">
        <f>IF(Entrants!W25="A",TRUE,"")</f>
        <v/>
      </c>
      <c r="AD12" s="359" t="str">
        <f>IF(Entrants!W25="B",TRUE,"")</f>
        <v/>
      </c>
      <c r="AE12" s="359" t="str">
        <f>IF(Entrants!X25="A",TRUE,"")</f>
        <v/>
      </c>
      <c r="AF12" s="359" t="str">
        <f>IF(Entrants!X25="B",TRUE,"")</f>
        <v/>
      </c>
      <c r="AG12" s="359" t="str">
        <f>IF(Entrants!X25="X",TRUE,"")</f>
        <v/>
      </c>
      <c r="AH12" s="359" t="str">
        <f>IF(Entrants!L25="Y","",IF(Entrants!L25="","",IF(ISERROR(VLOOKUP( Entrants!L25, Entrants!$P$144:$P$161,1,FALSE)),(Entrants!L25),"")))</f>
        <v/>
      </c>
      <c r="AI12" s="359" t="str">
        <f>IF(Entrants!M25="Y","",IF(Entrants!M25="","",IF(ISERROR(VLOOKUP( Entrants!M25, Entrants!$P$144:$P$161,1,FALSE)),(Entrants!M25),"")))</f>
        <v/>
      </c>
      <c r="AJ12" s="359" t="str">
        <f>IF(Entrants!N25="Y","",IF(Entrants!N25="","",IF(ISERROR(VLOOKUP( Entrants!N25, Entrants!$P$144:$P$161,1,FALSE)),(Entrants!N25),"")))</f>
        <v/>
      </c>
      <c r="AK12" s="359" t="str">
        <f>IF(Entrants!O25="Y","",IF(Entrants!O25="","",IF(ISERROR(VLOOKUP( Entrants!O25, Entrants!$P$144:$P$161,1,FALSE)),(Entrants!O25),"")))</f>
        <v/>
      </c>
      <c r="AL12" s="359" t="str">
        <f>IF(Entrants!P25="Y","",IF(Entrants!P25="","",IF(ISERROR(VLOOKUP( Entrants!P25, Entrants!$P$144:$P$161,1,FALSE)),(Entrants!P25),"")))</f>
        <v/>
      </c>
      <c r="AM12" s="359" t="str">
        <f>IF(LEN(Entrants!Q25)&gt;1,Entrants!Q25,"")</f>
        <v/>
      </c>
      <c r="AN12" s="359" t="str">
        <f>IF(Entrants!S25="Y","",IF(Entrants!S25="","",IF(ISERROR(VLOOKUP( Entrants!S25, Entrants!$P$144:$P$161,1,FALSE)),(Entrants!S25),"")))</f>
        <v/>
      </c>
      <c r="AO12" s="359" t="str">
        <f>IF(LEN(Entrants!U25)&gt;1,Entrants!U25,"")</f>
        <v/>
      </c>
      <c r="AP12" s="439" t="str">
        <f>Entrants!BH25</f>
        <v/>
      </c>
      <c r="AQ12" s="442"/>
      <c r="AR12" s="442"/>
      <c r="AS12" s="442"/>
    </row>
    <row r="13" spans="1:45" s="359" customFormat="1" x14ac:dyDescent="0.25">
      <c r="B13" s="359">
        <f>IF(COUNTBLANK(Entrants!B26)=0,'Team Data'!A$2,0)</f>
        <v>0</v>
      </c>
      <c r="C13" s="359">
        <f>IF(COUNTBLANK(Entrants!B26)=0,Group!$B$8,0)</f>
        <v>0</v>
      </c>
      <c r="E13" s="359" t="str">
        <f>IF(TRIM(PROPER(Entrants!B26))="Zoe","Zoë",TRIM(PROPER(Entrants!B26)))</f>
        <v/>
      </c>
      <c r="F13" s="359" t="str">
        <f>TRIM(PROPER(Entrants!C26))</f>
        <v/>
      </c>
      <c r="G13" s="359">
        <f>IF(AND(Entrants!F26&gt;0,Entrants!F26&lt;1000000000),Entrants!F26,0)</f>
        <v>0</v>
      </c>
      <c r="H13" s="359">
        <f>IF(OR(AND(TYPE(Entrants!G26)=1,Entrants!G26&gt;1000),Entrants!G26="Y"),Entrants!G26,0)</f>
        <v>0</v>
      </c>
      <c r="I13" s="359" t="str">
        <f>UPPER(Entrants!I26)</f>
        <v/>
      </c>
      <c r="J13" s="359" t="str">
        <f>IF(Entrants!E26="F","F","")</f>
        <v/>
      </c>
      <c r="K13" s="359" t="str">
        <f>IF(Entrants!J26="R",TRUE,"")</f>
        <v/>
      </c>
      <c r="L13" s="359" t="str">
        <f>IF(Entrants!K26="X",TRUE,"")</f>
        <v/>
      </c>
      <c r="M13" s="359" t="str">
        <f>IF(Entrants!K26="N",TRUE,"")</f>
        <v/>
      </c>
      <c r="N13" s="361" t="str">
        <f>IF(Entrants!D26="","",Entrants!D26)</f>
        <v/>
      </c>
      <c r="O13" s="359" t="str">
        <f>IF(COUNTBLANK(Entrants!B26)=0,INT(Entrants!AC26),"")</f>
        <v/>
      </c>
      <c r="P13" s="359" t="str">
        <f>IF(COUNTBLANK(Entrants!B26)=1,"",IF(O13&lt;14,"J","S"))</f>
        <v/>
      </c>
      <c r="Q13" s="359" t="str">
        <f>IF(Entrants!B26="","",IF(Entrants!K26="n","PKEF",IF(Entrants!K26="x","K",TRUE)))</f>
        <v/>
      </c>
      <c r="R13" s="359" t="str">
        <f>IF(LEFT(Entrants!L26,1)="Y",TRUE,"")</f>
        <v/>
      </c>
      <c r="S13" s="359" t="str">
        <f>IF(LEFT(Entrants!M26,1)="Y",TRUE,"")</f>
        <v/>
      </c>
      <c r="T13" s="359" t="str">
        <f>IF(LEFT(Entrants!N26,1)="Y",TRUE,"")</f>
        <v/>
      </c>
      <c r="U13" s="359" t="str">
        <f>IF(LEFT(Entrants!O26,1)="Y",TRUE,"")</f>
        <v/>
      </c>
      <c r="V13" s="359" t="str">
        <f>IF(LEFT(Entrants!P26,1)="Y",TRUE,"")</f>
        <v/>
      </c>
      <c r="W13" s="359" t="str">
        <f>IF(Entrants!R26="Open",TRUE,"")</f>
        <v/>
      </c>
      <c r="X13" s="359" t="str">
        <f>IF(Entrants!R26="Sporter",TRUE,"")</f>
        <v/>
      </c>
      <c r="Y13" s="359" t="str">
        <f>IF(COUNTBLANK(Entrants!T26)=1,"",PROPER(Entrants!T26))</f>
        <v/>
      </c>
      <c r="Z13" s="359" t="str">
        <f>IF(LEFT(Entrants!Q26)="Y",TRUE,"")</f>
        <v/>
      </c>
      <c r="AA13" s="359" t="str">
        <f>IF(Entrants!V26="Y",TRUE,"")</f>
        <v/>
      </c>
      <c r="AB13" s="359" t="str">
        <f>IF(LEFT(Entrants!U26)="Y",TRUE,"")</f>
        <v/>
      </c>
      <c r="AC13" s="359" t="str">
        <f>IF(Entrants!W26="A",TRUE,"")</f>
        <v/>
      </c>
      <c r="AD13" s="359" t="str">
        <f>IF(Entrants!W26="B",TRUE,"")</f>
        <v/>
      </c>
      <c r="AE13" s="359" t="str">
        <f>IF(Entrants!X26="A",TRUE,"")</f>
        <v/>
      </c>
      <c r="AF13" s="359" t="str">
        <f>IF(Entrants!X26="B",TRUE,"")</f>
        <v/>
      </c>
      <c r="AG13" s="359" t="str">
        <f>IF(Entrants!X26="X",TRUE,"")</f>
        <v/>
      </c>
      <c r="AH13" s="359" t="str">
        <f>IF(Entrants!L26="Y","",IF(Entrants!L26="","",IF(ISERROR(VLOOKUP( Entrants!L26, Entrants!$P$144:$P$161,1,FALSE)),(Entrants!L26),"")))</f>
        <v/>
      </c>
      <c r="AI13" s="359" t="str">
        <f>IF(Entrants!M26="Y","",IF(Entrants!M26="","",IF(ISERROR(VLOOKUP( Entrants!M26, Entrants!$P$144:$P$161,1,FALSE)),(Entrants!M26),"")))</f>
        <v/>
      </c>
      <c r="AJ13" s="359" t="str">
        <f>IF(Entrants!N26="Y","",IF(Entrants!N26="","",IF(ISERROR(VLOOKUP( Entrants!N26, Entrants!$P$144:$P$161,1,FALSE)),(Entrants!N26),"")))</f>
        <v/>
      </c>
      <c r="AK13" s="359" t="str">
        <f>IF(Entrants!O26="Y","",IF(Entrants!O26="","",IF(ISERROR(VLOOKUP( Entrants!O26, Entrants!$P$144:$P$161,1,FALSE)),(Entrants!O26),"")))</f>
        <v/>
      </c>
      <c r="AL13" s="359" t="str">
        <f>IF(Entrants!P26="Y","",IF(Entrants!P26="","",IF(ISERROR(VLOOKUP( Entrants!P26, Entrants!$P$144:$P$161,1,FALSE)),(Entrants!P26),"")))</f>
        <v/>
      </c>
      <c r="AM13" s="359" t="str">
        <f>IF(LEN(Entrants!Q26)&gt;1,Entrants!Q26,"")</f>
        <v/>
      </c>
      <c r="AN13" s="359" t="str">
        <f>IF(Entrants!S26="Y","",IF(Entrants!S26="","",IF(ISERROR(VLOOKUP( Entrants!S26, Entrants!$P$144:$P$161,1,FALSE)),(Entrants!S26),"")))</f>
        <v/>
      </c>
      <c r="AO13" s="359" t="str">
        <f>IF(LEN(Entrants!U26)&gt;1,Entrants!U26,"")</f>
        <v/>
      </c>
      <c r="AP13" s="439" t="str">
        <f>Entrants!BH26</f>
        <v/>
      </c>
      <c r="AQ13" s="442"/>
      <c r="AR13" s="442"/>
      <c r="AS13" s="442"/>
    </row>
    <row r="14" spans="1:45" s="359" customFormat="1" x14ac:dyDescent="0.25">
      <c r="B14" s="359">
        <f>IF(COUNTBLANK(Entrants!B27)=0,'Team Data'!A$2,0)</f>
        <v>0</v>
      </c>
      <c r="C14" s="359">
        <f>IF(COUNTBLANK(Entrants!B27)=0,Group!$B$8,0)</f>
        <v>0</v>
      </c>
      <c r="E14" s="359" t="str">
        <f>IF(TRIM(PROPER(Entrants!B27))="Zoe","Zoë",TRIM(PROPER(Entrants!B27)))</f>
        <v/>
      </c>
      <c r="F14" s="359" t="str">
        <f>TRIM(PROPER(Entrants!C27))</f>
        <v/>
      </c>
      <c r="G14" s="359">
        <f>IF(AND(Entrants!F27&gt;0,Entrants!F27&lt;1000000000),Entrants!F27,0)</f>
        <v>0</v>
      </c>
      <c r="H14" s="359">
        <f>IF(OR(AND(TYPE(Entrants!G27)=1,Entrants!G27&gt;1000),Entrants!G27="Y"),Entrants!G27,0)</f>
        <v>0</v>
      </c>
      <c r="I14" s="359" t="str">
        <f>UPPER(Entrants!I27)</f>
        <v/>
      </c>
      <c r="J14" s="359" t="str">
        <f>IF(Entrants!E27="F","F","")</f>
        <v/>
      </c>
      <c r="K14" s="359" t="str">
        <f>IF(Entrants!J27="R",TRUE,"")</f>
        <v/>
      </c>
      <c r="L14" s="359" t="str">
        <f>IF(Entrants!K27="X",TRUE,"")</f>
        <v/>
      </c>
      <c r="M14" s="359" t="str">
        <f>IF(Entrants!K27="N",TRUE,"")</f>
        <v/>
      </c>
      <c r="N14" s="361" t="str">
        <f>IF(Entrants!D27="","",Entrants!D27)</f>
        <v/>
      </c>
      <c r="O14" s="359" t="str">
        <f>IF(COUNTBLANK(Entrants!B27)=0,INT(Entrants!AC27),"")</f>
        <v/>
      </c>
      <c r="P14" s="359" t="str">
        <f>IF(COUNTBLANK(Entrants!B27)=1,"",IF(O14&lt;14,"J","S"))</f>
        <v/>
      </c>
      <c r="Q14" s="359" t="str">
        <f>IF(Entrants!B27="","",IF(Entrants!K27="n","PKEF",IF(Entrants!K27="x","K",TRUE)))</f>
        <v/>
      </c>
      <c r="R14" s="359" t="str">
        <f>IF(LEFT(Entrants!L27,1)="Y",TRUE,"")</f>
        <v/>
      </c>
      <c r="S14" s="359" t="str">
        <f>IF(LEFT(Entrants!M27,1)="Y",TRUE,"")</f>
        <v/>
      </c>
      <c r="T14" s="359" t="str">
        <f>IF(LEFT(Entrants!N27,1)="Y",TRUE,"")</f>
        <v/>
      </c>
      <c r="U14" s="359" t="str">
        <f>IF(LEFT(Entrants!O27,1)="Y",TRUE,"")</f>
        <v/>
      </c>
      <c r="V14" s="359" t="str">
        <f>IF(LEFT(Entrants!P27,1)="Y",TRUE,"")</f>
        <v/>
      </c>
      <c r="W14" s="359" t="str">
        <f>IF(Entrants!R27="Open",TRUE,"")</f>
        <v/>
      </c>
      <c r="X14" s="359" t="str">
        <f>IF(Entrants!R27="Sporter",TRUE,"")</f>
        <v/>
      </c>
      <c r="Y14" s="359" t="str">
        <f>IF(COUNTBLANK(Entrants!T27)=1,"",PROPER(Entrants!T27))</f>
        <v/>
      </c>
      <c r="Z14" s="359" t="str">
        <f>IF(LEFT(Entrants!Q27)="Y",TRUE,"")</f>
        <v/>
      </c>
      <c r="AA14" s="359" t="str">
        <f>IF(Entrants!V27="Y",TRUE,"")</f>
        <v/>
      </c>
      <c r="AB14" s="359" t="str">
        <f>IF(LEFT(Entrants!U27)="Y",TRUE,"")</f>
        <v/>
      </c>
      <c r="AC14" s="359" t="str">
        <f>IF(Entrants!W27="A",TRUE,"")</f>
        <v/>
      </c>
      <c r="AD14" s="359" t="str">
        <f>IF(Entrants!W27="B",TRUE,"")</f>
        <v/>
      </c>
      <c r="AE14" s="359" t="str">
        <f>IF(Entrants!X27="A",TRUE,"")</f>
        <v/>
      </c>
      <c r="AF14" s="359" t="str">
        <f>IF(Entrants!X27="B",TRUE,"")</f>
        <v/>
      </c>
      <c r="AG14" s="359" t="str">
        <f>IF(Entrants!X27="X",TRUE,"")</f>
        <v/>
      </c>
      <c r="AH14" s="359" t="str">
        <f>IF(Entrants!L27="Y","",IF(Entrants!L27="","",IF(ISERROR(VLOOKUP( Entrants!L27, Entrants!$P$144:$P$161,1,FALSE)),(Entrants!L27),"")))</f>
        <v/>
      </c>
      <c r="AI14" s="359" t="str">
        <f>IF(Entrants!M27="Y","",IF(Entrants!M27="","",IF(ISERROR(VLOOKUP( Entrants!M27, Entrants!$P$144:$P$161,1,FALSE)),(Entrants!M27),"")))</f>
        <v/>
      </c>
      <c r="AJ14" s="359" t="str">
        <f>IF(Entrants!N27="Y","",IF(Entrants!N27="","",IF(ISERROR(VLOOKUP( Entrants!N27, Entrants!$P$144:$P$161,1,FALSE)),(Entrants!N27),"")))</f>
        <v/>
      </c>
      <c r="AK14" s="359" t="str">
        <f>IF(Entrants!O27="Y","",IF(Entrants!O27="","",IF(ISERROR(VLOOKUP( Entrants!O27, Entrants!$P$144:$P$161,1,FALSE)),(Entrants!O27),"")))</f>
        <v/>
      </c>
      <c r="AL14" s="359" t="str">
        <f>IF(Entrants!P27="Y","",IF(Entrants!P27="","",IF(ISERROR(VLOOKUP( Entrants!P27, Entrants!$P$144:$P$161,1,FALSE)),(Entrants!P27),"")))</f>
        <v/>
      </c>
      <c r="AM14" s="359" t="str">
        <f>IF(LEN(Entrants!Q27)&gt;1,Entrants!Q27,"")</f>
        <v/>
      </c>
      <c r="AN14" s="359" t="str">
        <f>IF(Entrants!S27="Y","",IF(Entrants!S27="","",IF(ISERROR(VLOOKUP( Entrants!S27, Entrants!$P$144:$P$161,1,FALSE)),(Entrants!S27),"")))</f>
        <v/>
      </c>
      <c r="AO14" s="359" t="str">
        <f>IF(LEN(Entrants!U27)&gt;1,Entrants!U27,"")</f>
        <v/>
      </c>
      <c r="AP14" s="439" t="str">
        <f>Entrants!BH27</f>
        <v/>
      </c>
      <c r="AQ14" s="442"/>
      <c r="AR14" s="442"/>
      <c r="AS14" s="442"/>
    </row>
    <row r="15" spans="1:45" s="359" customFormat="1" x14ac:dyDescent="0.25">
      <c r="B15" s="359">
        <f>IF(COUNTBLANK(Entrants!B28)=0,'Team Data'!A$2,0)</f>
        <v>0</v>
      </c>
      <c r="C15" s="359">
        <f>IF(COUNTBLANK(Entrants!B28)=0,Group!$B$8,0)</f>
        <v>0</v>
      </c>
      <c r="E15" s="359" t="str">
        <f>IF(TRIM(PROPER(Entrants!B28))="Zoe","Zoë",TRIM(PROPER(Entrants!B28)))</f>
        <v/>
      </c>
      <c r="F15" s="359" t="str">
        <f>TRIM(PROPER(Entrants!C28))</f>
        <v/>
      </c>
      <c r="G15" s="359">
        <f>IF(AND(Entrants!F28&gt;0,Entrants!F28&lt;1000000000),Entrants!F28,0)</f>
        <v>0</v>
      </c>
      <c r="H15" s="359">
        <f>IF(OR(AND(TYPE(Entrants!G28)=1,Entrants!G28&gt;1000),Entrants!G28="Y"),Entrants!G28,0)</f>
        <v>0</v>
      </c>
      <c r="I15" s="359" t="str">
        <f>UPPER(Entrants!I28)</f>
        <v/>
      </c>
      <c r="J15" s="359" t="str">
        <f>IF(Entrants!E28="F","F","")</f>
        <v/>
      </c>
      <c r="K15" s="359" t="str">
        <f>IF(Entrants!J28="R",TRUE,"")</f>
        <v/>
      </c>
      <c r="L15" s="359" t="str">
        <f>IF(Entrants!K28="X",TRUE,"")</f>
        <v/>
      </c>
      <c r="M15" s="359" t="str">
        <f>IF(Entrants!K28="N",TRUE,"")</f>
        <v/>
      </c>
      <c r="N15" s="361" t="str">
        <f>IF(Entrants!D28="","",Entrants!D28)</f>
        <v/>
      </c>
      <c r="O15" s="359" t="str">
        <f>IF(COUNTBLANK(Entrants!B28)=0,INT(Entrants!AC28),"")</f>
        <v/>
      </c>
      <c r="P15" s="359" t="str">
        <f>IF(COUNTBLANK(Entrants!B28)=1,"",IF(O15&lt;14,"J","S"))</f>
        <v/>
      </c>
      <c r="Q15" s="359" t="str">
        <f>IF(Entrants!B28="","",IF(Entrants!K28="n","PKEF",IF(Entrants!K28="x","K",TRUE)))</f>
        <v/>
      </c>
      <c r="R15" s="359" t="str">
        <f>IF(LEFT(Entrants!L28,1)="Y",TRUE,"")</f>
        <v/>
      </c>
      <c r="S15" s="359" t="str">
        <f>IF(LEFT(Entrants!M28,1)="Y",TRUE,"")</f>
        <v/>
      </c>
      <c r="T15" s="359" t="str">
        <f>IF(LEFT(Entrants!N28,1)="Y",TRUE,"")</f>
        <v/>
      </c>
      <c r="U15" s="359" t="str">
        <f>IF(LEFT(Entrants!O28,1)="Y",TRUE,"")</f>
        <v/>
      </c>
      <c r="V15" s="359" t="str">
        <f>IF(LEFT(Entrants!P28,1)="Y",TRUE,"")</f>
        <v/>
      </c>
      <c r="W15" s="359" t="str">
        <f>IF(Entrants!R28="Open",TRUE,"")</f>
        <v/>
      </c>
      <c r="X15" s="359" t="str">
        <f>IF(Entrants!R28="Sporter",TRUE,"")</f>
        <v/>
      </c>
      <c r="Y15" s="359" t="str">
        <f>IF(COUNTBLANK(Entrants!T28)=1,"",PROPER(Entrants!T28))</f>
        <v/>
      </c>
      <c r="Z15" s="359" t="str">
        <f>IF(LEFT(Entrants!Q28)="Y",TRUE,"")</f>
        <v/>
      </c>
      <c r="AA15" s="359" t="str">
        <f>IF(Entrants!V28="Y",TRUE,"")</f>
        <v/>
      </c>
      <c r="AB15" s="359" t="str">
        <f>IF(LEFT(Entrants!U28)="Y",TRUE,"")</f>
        <v/>
      </c>
      <c r="AC15" s="359" t="str">
        <f>IF(Entrants!W28="A",TRUE,"")</f>
        <v/>
      </c>
      <c r="AD15" s="359" t="str">
        <f>IF(Entrants!W28="B",TRUE,"")</f>
        <v/>
      </c>
      <c r="AE15" s="359" t="str">
        <f>IF(Entrants!X28="A",TRUE,"")</f>
        <v/>
      </c>
      <c r="AF15" s="359" t="str">
        <f>IF(Entrants!X28="B",TRUE,"")</f>
        <v/>
      </c>
      <c r="AG15" s="359" t="str">
        <f>IF(Entrants!X28="X",TRUE,"")</f>
        <v/>
      </c>
      <c r="AH15" s="359" t="str">
        <f>IF(Entrants!L28="Y","",IF(Entrants!L28="","",IF(ISERROR(VLOOKUP( Entrants!L28, Entrants!$P$144:$P$161,1,FALSE)),(Entrants!L28),"")))</f>
        <v/>
      </c>
      <c r="AI15" s="359" t="str">
        <f>IF(Entrants!M28="Y","",IF(Entrants!M28="","",IF(ISERROR(VLOOKUP( Entrants!M28, Entrants!$P$144:$P$161,1,FALSE)),(Entrants!M28),"")))</f>
        <v/>
      </c>
      <c r="AJ15" s="359" t="str">
        <f>IF(Entrants!N28="Y","",IF(Entrants!N28="","",IF(ISERROR(VLOOKUP( Entrants!N28, Entrants!$P$144:$P$161,1,FALSE)),(Entrants!N28),"")))</f>
        <v/>
      </c>
      <c r="AK15" s="359" t="str">
        <f>IF(Entrants!O28="Y","",IF(Entrants!O28="","",IF(ISERROR(VLOOKUP( Entrants!O28, Entrants!$P$144:$P$161,1,FALSE)),(Entrants!O28),"")))</f>
        <v/>
      </c>
      <c r="AL15" s="359" t="str">
        <f>IF(Entrants!P28="Y","",IF(Entrants!P28="","",IF(ISERROR(VLOOKUP( Entrants!P28, Entrants!$P$144:$P$161,1,FALSE)),(Entrants!P28),"")))</f>
        <v/>
      </c>
      <c r="AM15" s="359" t="str">
        <f>IF(LEN(Entrants!Q28)&gt;1,Entrants!Q28,"")</f>
        <v/>
      </c>
      <c r="AN15" s="359" t="str">
        <f>IF(Entrants!S28="Y","",IF(Entrants!S28="","",IF(ISERROR(VLOOKUP( Entrants!S28, Entrants!$P$144:$P$161,1,FALSE)),(Entrants!S28),"")))</f>
        <v/>
      </c>
      <c r="AO15" s="359" t="str">
        <f>IF(LEN(Entrants!U28)&gt;1,Entrants!U28,"")</f>
        <v/>
      </c>
      <c r="AP15" s="439" t="str">
        <f>Entrants!BH28</f>
        <v/>
      </c>
      <c r="AQ15" s="442"/>
      <c r="AR15" s="442"/>
      <c r="AS15" s="442"/>
    </row>
    <row r="16" spans="1:45" s="359" customFormat="1" x14ac:dyDescent="0.25">
      <c r="B16" s="359">
        <f>IF(COUNTBLANK(Entrants!B29)=0,'Team Data'!A$2,0)</f>
        <v>0</v>
      </c>
      <c r="C16" s="359">
        <f>IF(COUNTBLANK(Entrants!B29)=0,Group!$B$8,0)</f>
        <v>0</v>
      </c>
      <c r="E16" s="359" t="str">
        <f>IF(TRIM(PROPER(Entrants!B29))="Zoe","Zoë",TRIM(PROPER(Entrants!B29)))</f>
        <v/>
      </c>
      <c r="F16" s="359" t="str">
        <f>TRIM(PROPER(Entrants!C29))</f>
        <v/>
      </c>
      <c r="G16" s="359">
        <f>IF(AND(Entrants!F29&gt;0,Entrants!F29&lt;1000000000),Entrants!F29,0)</f>
        <v>0</v>
      </c>
      <c r="H16" s="359">
        <f>IF(OR(AND(TYPE(Entrants!G29)=1,Entrants!G29&gt;1000),Entrants!G29="Y"),Entrants!G29,0)</f>
        <v>0</v>
      </c>
      <c r="I16" s="359" t="str">
        <f>UPPER(Entrants!I29)</f>
        <v/>
      </c>
      <c r="J16" s="359" t="str">
        <f>IF(Entrants!E29="F","F","")</f>
        <v/>
      </c>
      <c r="K16" s="359" t="str">
        <f>IF(Entrants!J29="R",TRUE,"")</f>
        <v/>
      </c>
      <c r="L16" s="359" t="str">
        <f>IF(Entrants!K29="X",TRUE,"")</f>
        <v/>
      </c>
      <c r="M16" s="359" t="str">
        <f>IF(Entrants!K29="N",TRUE,"")</f>
        <v/>
      </c>
      <c r="N16" s="361" t="str">
        <f>IF(Entrants!D29="","",Entrants!D29)</f>
        <v/>
      </c>
      <c r="O16" s="359" t="str">
        <f>IF(COUNTBLANK(Entrants!B29)=0,INT(Entrants!AC29),"")</f>
        <v/>
      </c>
      <c r="P16" s="359" t="str">
        <f>IF(COUNTBLANK(Entrants!B29)=1,"",IF(O16&lt;14,"J","S"))</f>
        <v/>
      </c>
      <c r="Q16" s="359" t="str">
        <f>IF(Entrants!B29="","",IF(Entrants!K29="n","PKEF",IF(Entrants!K29="x","K",TRUE)))</f>
        <v/>
      </c>
      <c r="R16" s="359" t="str">
        <f>IF(LEFT(Entrants!L29,1)="Y",TRUE,"")</f>
        <v/>
      </c>
      <c r="S16" s="359" t="str">
        <f>IF(LEFT(Entrants!M29,1)="Y",TRUE,"")</f>
        <v/>
      </c>
      <c r="T16" s="359" t="str">
        <f>IF(LEFT(Entrants!N29,1)="Y",TRUE,"")</f>
        <v/>
      </c>
      <c r="U16" s="359" t="str">
        <f>IF(LEFT(Entrants!O29,1)="Y",TRUE,"")</f>
        <v/>
      </c>
      <c r="V16" s="359" t="str">
        <f>IF(LEFT(Entrants!P29,1)="Y",TRUE,"")</f>
        <v/>
      </c>
      <c r="W16" s="359" t="str">
        <f>IF(Entrants!R29="Open",TRUE,"")</f>
        <v/>
      </c>
      <c r="X16" s="359" t="str">
        <f>IF(Entrants!R29="Sporter",TRUE,"")</f>
        <v/>
      </c>
      <c r="Y16" s="359" t="str">
        <f>IF(COUNTBLANK(Entrants!T29)=1,"",PROPER(Entrants!T29))</f>
        <v/>
      </c>
      <c r="Z16" s="359" t="str">
        <f>IF(LEFT(Entrants!Q29)="Y",TRUE,"")</f>
        <v/>
      </c>
      <c r="AA16" s="359" t="str">
        <f>IF(Entrants!V29="Y",TRUE,"")</f>
        <v/>
      </c>
      <c r="AB16" s="359" t="str">
        <f>IF(LEFT(Entrants!U29)="Y",TRUE,"")</f>
        <v/>
      </c>
      <c r="AC16" s="359" t="str">
        <f>IF(Entrants!W29="A",TRUE,"")</f>
        <v/>
      </c>
      <c r="AD16" s="359" t="str">
        <f>IF(Entrants!W29="B",TRUE,"")</f>
        <v/>
      </c>
      <c r="AE16" s="359" t="str">
        <f>IF(Entrants!X29="A",TRUE,"")</f>
        <v/>
      </c>
      <c r="AF16" s="359" t="str">
        <f>IF(Entrants!X29="B",TRUE,"")</f>
        <v/>
      </c>
      <c r="AG16" s="359" t="str">
        <f>IF(Entrants!X29="X",TRUE,"")</f>
        <v/>
      </c>
      <c r="AH16" s="359" t="str">
        <f>IF(Entrants!L29="Y","",IF(Entrants!L29="","",IF(ISERROR(VLOOKUP( Entrants!L29, Entrants!$P$144:$P$161,1,FALSE)),(Entrants!L29),"")))</f>
        <v/>
      </c>
      <c r="AI16" s="359" t="str">
        <f>IF(Entrants!M29="Y","",IF(Entrants!M29="","",IF(ISERROR(VLOOKUP( Entrants!M29, Entrants!$P$144:$P$161,1,FALSE)),(Entrants!M29),"")))</f>
        <v/>
      </c>
      <c r="AJ16" s="359" t="str">
        <f>IF(Entrants!N29="Y","",IF(Entrants!N29="","",IF(ISERROR(VLOOKUP( Entrants!N29, Entrants!$P$144:$P$161,1,FALSE)),(Entrants!N29),"")))</f>
        <v/>
      </c>
      <c r="AK16" s="359" t="str">
        <f>IF(Entrants!O29="Y","",IF(Entrants!O29="","",IF(ISERROR(VLOOKUP( Entrants!O29, Entrants!$P$144:$P$161,1,FALSE)),(Entrants!O29),"")))</f>
        <v/>
      </c>
      <c r="AL16" s="359" t="str">
        <f>IF(Entrants!P29="Y","",IF(Entrants!P29="","",IF(ISERROR(VLOOKUP( Entrants!P29, Entrants!$P$144:$P$161,1,FALSE)),(Entrants!P29),"")))</f>
        <v/>
      </c>
      <c r="AM16" s="359" t="str">
        <f>IF(LEN(Entrants!Q29)&gt;1,Entrants!Q29,"")</f>
        <v/>
      </c>
      <c r="AN16" s="359" t="str">
        <f>IF(Entrants!S29="Y","",IF(Entrants!S29="","",IF(ISERROR(VLOOKUP( Entrants!S29, Entrants!$P$144:$P$161,1,FALSE)),(Entrants!S29),"")))</f>
        <v/>
      </c>
      <c r="AO16" s="359" t="str">
        <f>IF(LEN(Entrants!U29)&gt;1,Entrants!U29,"")</f>
        <v/>
      </c>
      <c r="AP16" s="439" t="str">
        <f>Entrants!BH29</f>
        <v/>
      </c>
      <c r="AQ16" s="442"/>
      <c r="AR16" s="442"/>
      <c r="AS16" s="442"/>
    </row>
    <row r="17" spans="1:45" s="359" customFormat="1" x14ac:dyDescent="0.25">
      <c r="B17" s="359">
        <f>IF(COUNTBLANK(Entrants!B30)=0,'Team Data'!A$2,0)</f>
        <v>0</v>
      </c>
      <c r="C17" s="359">
        <f>IF(COUNTBLANK(Entrants!B30)=0,Group!$B$8,0)</f>
        <v>0</v>
      </c>
      <c r="E17" s="359" t="str">
        <f>IF(TRIM(PROPER(Entrants!B30))="Zoe","Zoë",TRIM(PROPER(Entrants!B30)))</f>
        <v/>
      </c>
      <c r="F17" s="359" t="str">
        <f>TRIM(PROPER(Entrants!C30))</f>
        <v/>
      </c>
      <c r="G17" s="359">
        <f>IF(AND(Entrants!F30&gt;0,Entrants!F30&lt;1000000000),Entrants!F30,0)</f>
        <v>0</v>
      </c>
      <c r="H17" s="359">
        <f>IF(OR(AND(TYPE(Entrants!G30)=1,Entrants!G30&gt;1000),Entrants!G30="Y"),Entrants!G30,0)</f>
        <v>0</v>
      </c>
      <c r="I17" s="359" t="str">
        <f>UPPER(Entrants!I30)</f>
        <v/>
      </c>
      <c r="J17" s="359" t="str">
        <f>IF(Entrants!E30="F","F","")</f>
        <v/>
      </c>
      <c r="K17" s="359" t="str">
        <f>IF(Entrants!J30="R",TRUE,"")</f>
        <v/>
      </c>
      <c r="L17" s="359" t="str">
        <f>IF(Entrants!K30="X",TRUE,"")</f>
        <v/>
      </c>
      <c r="M17" s="359" t="str">
        <f>IF(Entrants!K30="N",TRUE,"")</f>
        <v/>
      </c>
      <c r="N17" s="361" t="str">
        <f>IF(Entrants!D30="","",Entrants!D30)</f>
        <v/>
      </c>
      <c r="O17" s="359" t="str">
        <f>IF(COUNTBLANK(Entrants!B30)=0,INT(Entrants!AC30),"")</f>
        <v/>
      </c>
      <c r="P17" s="359" t="str">
        <f>IF(COUNTBLANK(Entrants!B30)=1,"",IF(O17&lt;14,"J","S"))</f>
        <v/>
      </c>
      <c r="Q17" s="359" t="str">
        <f>IF(Entrants!B30="","",IF(Entrants!K30="n","PKEF",IF(Entrants!K30="x","K",TRUE)))</f>
        <v/>
      </c>
      <c r="R17" s="359" t="str">
        <f>IF(LEFT(Entrants!L30,1)="Y",TRUE,"")</f>
        <v/>
      </c>
      <c r="S17" s="359" t="str">
        <f>IF(LEFT(Entrants!M30,1)="Y",TRUE,"")</f>
        <v/>
      </c>
      <c r="T17" s="359" t="str">
        <f>IF(LEFT(Entrants!N30,1)="Y",TRUE,"")</f>
        <v/>
      </c>
      <c r="U17" s="359" t="str">
        <f>IF(LEFT(Entrants!O30,1)="Y",TRUE,"")</f>
        <v/>
      </c>
      <c r="V17" s="359" t="str">
        <f>IF(LEFT(Entrants!P30,1)="Y",TRUE,"")</f>
        <v/>
      </c>
      <c r="W17" s="359" t="str">
        <f>IF(Entrants!R30="Open",TRUE,"")</f>
        <v/>
      </c>
      <c r="X17" s="359" t="str">
        <f>IF(Entrants!R30="Sporter",TRUE,"")</f>
        <v/>
      </c>
      <c r="Y17" s="359" t="str">
        <f>IF(COUNTBLANK(Entrants!T30)=1,"",PROPER(Entrants!T30))</f>
        <v/>
      </c>
      <c r="Z17" s="359" t="str">
        <f>IF(LEFT(Entrants!Q30)="Y",TRUE,"")</f>
        <v/>
      </c>
      <c r="AA17" s="359" t="str">
        <f>IF(Entrants!V30="Y",TRUE,"")</f>
        <v/>
      </c>
      <c r="AB17" s="359" t="str">
        <f>IF(LEFT(Entrants!U30)="Y",TRUE,"")</f>
        <v/>
      </c>
      <c r="AC17" s="359" t="str">
        <f>IF(Entrants!W30="A",TRUE,"")</f>
        <v/>
      </c>
      <c r="AD17" s="359" t="str">
        <f>IF(Entrants!W30="B",TRUE,"")</f>
        <v/>
      </c>
      <c r="AE17" s="359" t="str">
        <f>IF(Entrants!X30="A",TRUE,"")</f>
        <v/>
      </c>
      <c r="AF17" s="359" t="str">
        <f>IF(Entrants!X30="B",TRUE,"")</f>
        <v/>
      </c>
      <c r="AG17" s="359" t="str">
        <f>IF(Entrants!X30="X",TRUE,"")</f>
        <v/>
      </c>
      <c r="AH17" s="359" t="str">
        <f>IF(Entrants!L30="Y","",IF(Entrants!L30="","",IF(ISERROR(VLOOKUP( Entrants!L30, Entrants!$P$144:$P$161,1,FALSE)),(Entrants!L30),"")))</f>
        <v/>
      </c>
      <c r="AI17" s="359" t="str">
        <f>IF(Entrants!M30="Y","",IF(Entrants!M30="","",IF(ISERROR(VLOOKUP( Entrants!M30, Entrants!$P$144:$P$161,1,FALSE)),(Entrants!M30),"")))</f>
        <v/>
      </c>
      <c r="AJ17" s="359" t="str">
        <f>IF(Entrants!N30="Y","",IF(Entrants!N30="","",IF(ISERROR(VLOOKUP( Entrants!N30, Entrants!$P$144:$P$161,1,FALSE)),(Entrants!N30),"")))</f>
        <v/>
      </c>
      <c r="AK17" s="359" t="str">
        <f>IF(Entrants!O30="Y","",IF(Entrants!O30="","",IF(ISERROR(VLOOKUP( Entrants!O30, Entrants!$P$144:$P$161,1,FALSE)),(Entrants!O30),"")))</f>
        <v/>
      </c>
      <c r="AL17" s="359" t="str">
        <f>IF(Entrants!P30="Y","",IF(Entrants!P30="","",IF(ISERROR(VLOOKUP( Entrants!P30, Entrants!$P$144:$P$161,1,FALSE)),(Entrants!P30),"")))</f>
        <v/>
      </c>
      <c r="AM17" s="359" t="str">
        <f>IF(LEN(Entrants!Q30)&gt;1,Entrants!Q30,"")</f>
        <v/>
      </c>
      <c r="AN17" s="359" t="str">
        <f>IF(Entrants!S30="Y","",IF(Entrants!S30="","",IF(ISERROR(VLOOKUP( Entrants!S30, Entrants!$P$144:$P$161,1,FALSE)),(Entrants!S30),"")))</f>
        <v/>
      </c>
      <c r="AO17" s="359" t="str">
        <f>IF(LEN(Entrants!U30)&gt;1,Entrants!U30,"")</f>
        <v/>
      </c>
      <c r="AP17" s="439" t="str">
        <f>Entrants!BH30</f>
        <v/>
      </c>
      <c r="AQ17" s="442"/>
      <c r="AR17" s="442"/>
      <c r="AS17" s="442"/>
    </row>
    <row r="18" spans="1:45" s="359" customFormat="1" x14ac:dyDescent="0.25">
      <c r="B18" s="359">
        <f>IF(COUNTBLANK(Entrants!B31)=0,'Team Data'!A$2,0)</f>
        <v>0</v>
      </c>
      <c r="C18" s="359">
        <f>IF(COUNTBLANK(Entrants!B31)=0,Group!$B$8,0)</f>
        <v>0</v>
      </c>
      <c r="E18" s="359" t="str">
        <f>IF(TRIM(PROPER(Entrants!B31))="Zoe","Zoë",TRIM(PROPER(Entrants!B31)))</f>
        <v/>
      </c>
      <c r="F18" s="359" t="str">
        <f>TRIM(PROPER(Entrants!C31))</f>
        <v/>
      </c>
      <c r="G18" s="359">
        <f>IF(AND(Entrants!F31&gt;0,Entrants!F31&lt;1000000000),Entrants!F31,0)</f>
        <v>0</v>
      </c>
      <c r="H18" s="359">
        <f>IF(OR(AND(TYPE(Entrants!G31)=1,Entrants!G31&gt;1000),Entrants!G31="Y"),Entrants!G31,0)</f>
        <v>0</v>
      </c>
      <c r="I18" s="359" t="str">
        <f>UPPER(Entrants!I31)</f>
        <v/>
      </c>
      <c r="J18" s="359" t="str">
        <f>IF(Entrants!E31="F","F","")</f>
        <v/>
      </c>
      <c r="K18" s="359" t="str">
        <f>IF(Entrants!J31="R",TRUE,"")</f>
        <v/>
      </c>
      <c r="L18" s="359" t="str">
        <f>IF(Entrants!K31="X",TRUE,"")</f>
        <v/>
      </c>
      <c r="M18" s="359" t="str">
        <f>IF(Entrants!K31="N",TRUE,"")</f>
        <v/>
      </c>
      <c r="N18" s="361" t="str">
        <f>IF(Entrants!D31="","",Entrants!D31)</f>
        <v/>
      </c>
      <c r="O18" s="359" t="str">
        <f>IF(COUNTBLANK(Entrants!B31)=0,INT(Entrants!AC31),"")</f>
        <v/>
      </c>
      <c r="P18" s="359" t="str">
        <f>IF(COUNTBLANK(Entrants!B31)=1,"",IF(O18&lt;14,"J","S"))</f>
        <v/>
      </c>
      <c r="Q18" s="359" t="str">
        <f>IF(Entrants!B31="","",IF(Entrants!K31="n","PKEF",IF(Entrants!K31="x","K",TRUE)))</f>
        <v/>
      </c>
      <c r="R18" s="359" t="str">
        <f>IF(LEFT(Entrants!L31,1)="Y",TRUE,"")</f>
        <v/>
      </c>
      <c r="S18" s="359" t="str">
        <f>IF(LEFT(Entrants!M31,1)="Y",TRUE,"")</f>
        <v/>
      </c>
      <c r="T18" s="359" t="str">
        <f>IF(LEFT(Entrants!N31,1)="Y",TRUE,"")</f>
        <v/>
      </c>
      <c r="U18" s="359" t="str">
        <f>IF(LEFT(Entrants!O31,1)="Y",TRUE,"")</f>
        <v/>
      </c>
      <c r="V18" s="359" t="str">
        <f>IF(LEFT(Entrants!P31,1)="Y",TRUE,"")</f>
        <v/>
      </c>
      <c r="W18" s="359" t="str">
        <f>IF(Entrants!R31="Open",TRUE,"")</f>
        <v/>
      </c>
      <c r="X18" s="359" t="str">
        <f>IF(Entrants!R31="Sporter",TRUE,"")</f>
        <v/>
      </c>
      <c r="Y18" s="359" t="str">
        <f>IF(COUNTBLANK(Entrants!T31)=1,"",PROPER(Entrants!T31))</f>
        <v/>
      </c>
      <c r="Z18" s="359" t="str">
        <f>IF(LEFT(Entrants!Q31)="Y",TRUE,"")</f>
        <v/>
      </c>
      <c r="AA18" s="359" t="str">
        <f>IF(Entrants!V31="Y",TRUE,"")</f>
        <v/>
      </c>
      <c r="AB18" s="359" t="str">
        <f>IF(LEFT(Entrants!U31)="Y",TRUE,"")</f>
        <v/>
      </c>
      <c r="AC18" s="359" t="str">
        <f>IF(Entrants!W31="A",TRUE,"")</f>
        <v/>
      </c>
      <c r="AD18" s="359" t="str">
        <f>IF(Entrants!W31="B",TRUE,"")</f>
        <v/>
      </c>
      <c r="AE18" s="359" t="str">
        <f>IF(Entrants!X31="A",TRUE,"")</f>
        <v/>
      </c>
      <c r="AF18" s="359" t="str">
        <f>IF(Entrants!X31="B",TRUE,"")</f>
        <v/>
      </c>
      <c r="AG18" s="359" t="str">
        <f>IF(Entrants!X31="X",TRUE,"")</f>
        <v/>
      </c>
      <c r="AH18" s="359" t="str">
        <f>IF(Entrants!L31="Y","",IF(Entrants!L31="","",IF(ISERROR(VLOOKUP( Entrants!L31, Entrants!$P$144:$P$161,1,FALSE)),(Entrants!L31),"")))</f>
        <v/>
      </c>
      <c r="AI18" s="359" t="str">
        <f>IF(Entrants!M31="Y","",IF(Entrants!M31="","",IF(ISERROR(VLOOKUP( Entrants!M31, Entrants!$P$144:$P$161,1,FALSE)),(Entrants!M31),"")))</f>
        <v/>
      </c>
      <c r="AJ18" s="359" t="str">
        <f>IF(Entrants!N31="Y","",IF(Entrants!N31="","",IF(ISERROR(VLOOKUP( Entrants!N31, Entrants!$P$144:$P$161,1,FALSE)),(Entrants!N31),"")))</f>
        <v/>
      </c>
      <c r="AK18" s="359" t="str">
        <f>IF(Entrants!O31="Y","",IF(Entrants!O31="","",IF(ISERROR(VLOOKUP( Entrants!O31, Entrants!$P$144:$P$161,1,FALSE)),(Entrants!O31),"")))</f>
        <v/>
      </c>
      <c r="AL18" s="359" t="str">
        <f>IF(Entrants!P31="Y","",IF(Entrants!P31="","",IF(ISERROR(VLOOKUP( Entrants!P31, Entrants!$P$144:$P$161,1,FALSE)),(Entrants!P31),"")))</f>
        <v/>
      </c>
      <c r="AM18" s="359" t="str">
        <f>IF(LEN(Entrants!Q31)&gt;1,Entrants!Q31,"")</f>
        <v/>
      </c>
      <c r="AN18" s="359" t="str">
        <f>IF(Entrants!S31="Y","",IF(Entrants!S31="","",IF(ISERROR(VLOOKUP( Entrants!S31, Entrants!$P$144:$P$161,1,FALSE)),(Entrants!S31),"")))</f>
        <v/>
      </c>
      <c r="AO18" s="359" t="str">
        <f>IF(LEN(Entrants!U31)&gt;1,Entrants!U31,"")</f>
        <v/>
      </c>
      <c r="AP18" s="439" t="str">
        <f>Entrants!BH31</f>
        <v/>
      </c>
      <c r="AQ18" s="442"/>
      <c r="AR18" s="442"/>
      <c r="AS18" s="442"/>
    </row>
    <row r="19" spans="1:45" s="359" customFormat="1" x14ac:dyDescent="0.25">
      <c r="B19" s="359">
        <f>IF(COUNTBLANK(Entrants!B32)=0,'Team Data'!A$2,0)</f>
        <v>0</v>
      </c>
      <c r="C19" s="359">
        <f>IF(COUNTBLANK(Entrants!B32)=0,Group!$B$8,0)</f>
        <v>0</v>
      </c>
      <c r="E19" s="359" t="str">
        <f>IF(TRIM(PROPER(Entrants!B32))="Zoe","Zoë",TRIM(PROPER(Entrants!B32)))</f>
        <v/>
      </c>
      <c r="F19" s="359" t="str">
        <f>TRIM(PROPER(Entrants!C32))</f>
        <v/>
      </c>
      <c r="G19" s="359">
        <f>IF(AND(Entrants!F32&gt;0,Entrants!F32&lt;1000000000),Entrants!F32,0)</f>
        <v>0</v>
      </c>
      <c r="H19" s="359">
        <f>IF(OR(AND(TYPE(Entrants!G32)=1,Entrants!G32&gt;1000),Entrants!G32="Y"),Entrants!G32,0)</f>
        <v>0</v>
      </c>
      <c r="I19" s="359" t="str">
        <f>UPPER(Entrants!I32)</f>
        <v/>
      </c>
      <c r="J19" s="359" t="str">
        <f>IF(Entrants!E32="F","F","")</f>
        <v/>
      </c>
      <c r="K19" s="359" t="str">
        <f>IF(Entrants!J32="R",TRUE,"")</f>
        <v/>
      </c>
      <c r="L19" s="359" t="str">
        <f>IF(Entrants!K32="X",TRUE,"")</f>
        <v/>
      </c>
      <c r="M19" s="359" t="str">
        <f>IF(Entrants!K32="N",TRUE,"")</f>
        <v/>
      </c>
      <c r="N19" s="361" t="str">
        <f>IF(Entrants!D32="","",Entrants!D32)</f>
        <v/>
      </c>
      <c r="O19" s="359" t="str">
        <f>IF(COUNTBLANK(Entrants!B32)=0,INT(Entrants!AC32),"")</f>
        <v/>
      </c>
      <c r="P19" s="359" t="str">
        <f>IF(COUNTBLANK(Entrants!B32)=1,"",IF(O19&lt;14,"J","S"))</f>
        <v/>
      </c>
      <c r="Q19" s="359" t="str">
        <f>IF(Entrants!B32="","",IF(Entrants!K32="n","PKEF",IF(Entrants!K32="x","K",TRUE)))</f>
        <v/>
      </c>
      <c r="R19" s="359" t="str">
        <f>IF(LEFT(Entrants!L32,1)="Y",TRUE,"")</f>
        <v/>
      </c>
      <c r="S19" s="359" t="str">
        <f>IF(LEFT(Entrants!M32,1)="Y",TRUE,"")</f>
        <v/>
      </c>
      <c r="T19" s="359" t="str">
        <f>IF(LEFT(Entrants!N32,1)="Y",TRUE,"")</f>
        <v/>
      </c>
      <c r="U19" s="359" t="str">
        <f>IF(LEFT(Entrants!O32,1)="Y",TRUE,"")</f>
        <v/>
      </c>
      <c r="V19" s="359" t="str">
        <f>IF(LEFT(Entrants!P32,1)="Y",TRUE,"")</f>
        <v/>
      </c>
      <c r="W19" s="359" t="str">
        <f>IF(Entrants!R32="Open",TRUE,"")</f>
        <v/>
      </c>
      <c r="X19" s="359" t="str">
        <f>IF(Entrants!R32="Sporter",TRUE,"")</f>
        <v/>
      </c>
      <c r="Y19" s="359" t="str">
        <f>IF(COUNTBLANK(Entrants!T32)=1,"",PROPER(Entrants!T32))</f>
        <v/>
      </c>
      <c r="Z19" s="359" t="str">
        <f>IF(LEFT(Entrants!Q32)="Y",TRUE,"")</f>
        <v/>
      </c>
      <c r="AA19" s="359" t="str">
        <f>IF(Entrants!V32="Y",TRUE,"")</f>
        <v/>
      </c>
      <c r="AB19" s="359" t="str">
        <f>IF(LEFT(Entrants!U32)="Y",TRUE,"")</f>
        <v/>
      </c>
      <c r="AC19" s="359" t="str">
        <f>IF(Entrants!W32="A",TRUE,"")</f>
        <v/>
      </c>
      <c r="AD19" s="359" t="str">
        <f>IF(Entrants!W32="B",TRUE,"")</f>
        <v/>
      </c>
      <c r="AE19" s="359" t="str">
        <f>IF(Entrants!X32="A",TRUE,"")</f>
        <v/>
      </c>
      <c r="AF19" s="359" t="str">
        <f>IF(Entrants!X32="B",TRUE,"")</f>
        <v/>
      </c>
      <c r="AG19" s="359" t="str">
        <f>IF(Entrants!X32="X",TRUE,"")</f>
        <v/>
      </c>
      <c r="AH19" s="359" t="str">
        <f>IF(Entrants!L32="Y","",IF(Entrants!L32="","",IF(ISERROR(VLOOKUP( Entrants!L32, Entrants!$P$144:$P$161,1,FALSE)),(Entrants!L32),"")))</f>
        <v/>
      </c>
      <c r="AI19" s="359" t="str">
        <f>IF(Entrants!M32="Y","",IF(Entrants!M32="","",IF(ISERROR(VLOOKUP( Entrants!M32, Entrants!$P$144:$P$161,1,FALSE)),(Entrants!M32),"")))</f>
        <v/>
      </c>
      <c r="AJ19" s="359" t="str">
        <f>IF(Entrants!N32="Y","",IF(Entrants!N32="","",IF(ISERROR(VLOOKUP( Entrants!N32, Entrants!$P$144:$P$161,1,FALSE)),(Entrants!N32),"")))</f>
        <v/>
      </c>
      <c r="AK19" s="359" t="str">
        <f>IF(Entrants!O32="Y","",IF(Entrants!O32="","",IF(ISERROR(VLOOKUP( Entrants!O32, Entrants!$P$144:$P$161,1,FALSE)),(Entrants!O32),"")))</f>
        <v/>
      </c>
      <c r="AL19" s="359" t="str">
        <f>IF(Entrants!P32="Y","",IF(Entrants!P32="","",IF(ISERROR(VLOOKUP( Entrants!P32, Entrants!$P$144:$P$161,1,FALSE)),(Entrants!P32),"")))</f>
        <v/>
      </c>
      <c r="AM19" s="359" t="str">
        <f>IF(LEN(Entrants!Q32)&gt;1,Entrants!Q32,"")</f>
        <v/>
      </c>
      <c r="AN19" s="359" t="str">
        <f>IF(Entrants!S32="Y","",IF(Entrants!S32="","",IF(ISERROR(VLOOKUP( Entrants!S32, Entrants!$P$144:$P$161,1,FALSE)),(Entrants!S32),"")))</f>
        <v/>
      </c>
      <c r="AO19" s="359" t="str">
        <f>IF(LEN(Entrants!U32)&gt;1,Entrants!U32,"")</f>
        <v/>
      </c>
      <c r="AP19" s="439" t="str">
        <f>Entrants!BH32</f>
        <v/>
      </c>
      <c r="AQ19" s="442"/>
      <c r="AR19" s="442"/>
      <c r="AS19" s="442"/>
    </row>
    <row r="20" spans="1:45" s="359" customFormat="1" x14ac:dyDescent="0.25">
      <c r="B20" s="359">
        <f>IF(COUNTBLANK(Entrants!B33)=0,'Team Data'!A$2,0)</f>
        <v>0</v>
      </c>
      <c r="C20" s="359">
        <f>IF(COUNTBLANK(Entrants!B33)=0,Group!$B$8,0)</f>
        <v>0</v>
      </c>
      <c r="E20" s="359" t="str">
        <f>IF(TRIM(PROPER(Entrants!B33))="Zoe","Zoë",TRIM(PROPER(Entrants!B33)))</f>
        <v/>
      </c>
      <c r="F20" s="359" t="str">
        <f>TRIM(PROPER(Entrants!C33))</f>
        <v/>
      </c>
      <c r="G20" s="359">
        <f>IF(AND(Entrants!F33&gt;0,Entrants!F33&lt;1000000000),Entrants!F33,0)</f>
        <v>0</v>
      </c>
      <c r="H20" s="359">
        <f>IF(OR(AND(TYPE(Entrants!G33)=1,Entrants!G33&gt;1000),Entrants!G33="Y"),Entrants!G33,0)</f>
        <v>0</v>
      </c>
      <c r="I20" s="359" t="str">
        <f>UPPER(Entrants!I33)</f>
        <v/>
      </c>
      <c r="J20" s="359" t="str">
        <f>IF(Entrants!E33="F","F","")</f>
        <v/>
      </c>
      <c r="K20" s="359" t="str">
        <f>IF(Entrants!J33="R",TRUE,"")</f>
        <v/>
      </c>
      <c r="L20" s="359" t="str">
        <f>IF(Entrants!K33="X",TRUE,"")</f>
        <v/>
      </c>
      <c r="M20" s="359" t="str">
        <f>IF(Entrants!K33="N",TRUE,"")</f>
        <v/>
      </c>
      <c r="N20" s="361" t="str">
        <f>IF(Entrants!D33="","",Entrants!D33)</f>
        <v/>
      </c>
      <c r="O20" s="359" t="str">
        <f>IF(COUNTBLANK(Entrants!B33)=0,INT(Entrants!AC33),"")</f>
        <v/>
      </c>
      <c r="P20" s="359" t="str">
        <f>IF(COUNTBLANK(Entrants!B33)=1,"",IF(O20&lt;14,"J","S"))</f>
        <v/>
      </c>
      <c r="Q20" s="359" t="str">
        <f>IF(Entrants!B33="","",IF(Entrants!K33="n","PKEF",IF(Entrants!K33="x","K",TRUE)))</f>
        <v/>
      </c>
      <c r="R20" s="359" t="str">
        <f>IF(LEFT(Entrants!L33,1)="Y",TRUE,"")</f>
        <v/>
      </c>
      <c r="S20" s="359" t="str">
        <f>IF(LEFT(Entrants!M33,1)="Y",TRUE,"")</f>
        <v/>
      </c>
      <c r="T20" s="359" t="str">
        <f>IF(LEFT(Entrants!N33,1)="Y",TRUE,"")</f>
        <v/>
      </c>
      <c r="U20" s="359" t="str">
        <f>IF(LEFT(Entrants!O33,1)="Y",TRUE,"")</f>
        <v/>
      </c>
      <c r="V20" s="359" t="str">
        <f>IF(LEFT(Entrants!P33,1)="Y",TRUE,"")</f>
        <v/>
      </c>
      <c r="W20" s="359" t="str">
        <f>IF(Entrants!R33="Open",TRUE,"")</f>
        <v/>
      </c>
      <c r="X20" s="359" t="str">
        <f>IF(Entrants!R33="Sporter",TRUE,"")</f>
        <v/>
      </c>
      <c r="Y20" s="359" t="str">
        <f>IF(COUNTBLANK(Entrants!T33)=1,"",PROPER(Entrants!T33))</f>
        <v/>
      </c>
      <c r="Z20" s="359" t="str">
        <f>IF(LEFT(Entrants!Q33)="Y",TRUE,"")</f>
        <v/>
      </c>
      <c r="AA20" s="359" t="str">
        <f>IF(Entrants!V33="Y",TRUE,"")</f>
        <v/>
      </c>
      <c r="AB20" s="359" t="str">
        <f>IF(LEFT(Entrants!U33)="Y",TRUE,"")</f>
        <v/>
      </c>
      <c r="AC20" s="359" t="str">
        <f>IF(Entrants!W33="A",TRUE,"")</f>
        <v/>
      </c>
      <c r="AD20" s="359" t="str">
        <f>IF(Entrants!W33="B",TRUE,"")</f>
        <v/>
      </c>
      <c r="AE20" s="359" t="str">
        <f>IF(Entrants!X33="A",TRUE,"")</f>
        <v/>
      </c>
      <c r="AF20" s="359" t="str">
        <f>IF(Entrants!X33="B",TRUE,"")</f>
        <v/>
      </c>
      <c r="AG20" s="359" t="str">
        <f>IF(Entrants!X33="X",TRUE,"")</f>
        <v/>
      </c>
      <c r="AH20" s="359" t="str">
        <f>IF(Entrants!L33="Y","",IF(Entrants!L33="","",IF(ISERROR(VLOOKUP( Entrants!L33, Entrants!$P$144:$P$161,1,FALSE)),(Entrants!L33),"")))</f>
        <v/>
      </c>
      <c r="AI20" s="359" t="str">
        <f>IF(Entrants!M33="Y","",IF(Entrants!M33="","",IF(ISERROR(VLOOKUP( Entrants!M33, Entrants!$P$144:$P$161,1,FALSE)),(Entrants!M33),"")))</f>
        <v/>
      </c>
      <c r="AJ20" s="359" t="str">
        <f>IF(Entrants!N33="Y","",IF(Entrants!N33="","",IF(ISERROR(VLOOKUP( Entrants!N33, Entrants!$P$144:$P$161,1,FALSE)),(Entrants!N33),"")))</f>
        <v/>
      </c>
      <c r="AK20" s="359" t="str">
        <f>IF(Entrants!O33="Y","",IF(Entrants!O33="","",IF(ISERROR(VLOOKUP( Entrants!O33, Entrants!$P$144:$P$161,1,FALSE)),(Entrants!O33),"")))</f>
        <v/>
      </c>
      <c r="AL20" s="359" t="str">
        <f>IF(Entrants!P33="Y","",IF(Entrants!P33="","",IF(ISERROR(VLOOKUP( Entrants!P33, Entrants!$P$144:$P$161,1,FALSE)),(Entrants!P33),"")))</f>
        <v/>
      </c>
      <c r="AM20" s="359" t="str">
        <f>IF(LEN(Entrants!Q33)&gt;1,Entrants!Q33,"")</f>
        <v/>
      </c>
      <c r="AN20" s="359" t="str">
        <f>IF(Entrants!S33="Y","",IF(Entrants!S33="","",IF(ISERROR(VLOOKUP( Entrants!S33, Entrants!$P$144:$P$161,1,FALSE)),(Entrants!S33),"")))</f>
        <v/>
      </c>
      <c r="AO20" s="359" t="str">
        <f>IF(LEN(Entrants!U33)&gt;1,Entrants!U33,"")</f>
        <v/>
      </c>
      <c r="AP20" s="439" t="str">
        <f>Entrants!BH33</f>
        <v/>
      </c>
      <c r="AQ20" s="442"/>
      <c r="AR20" s="442"/>
      <c r="AS20" s="442"/>
    </row>
    <row r="21" spans="1:45" s="359" customFormat="1" x14ac:dyDescent="0.25">
      <c r="B21" s="359">
        <f>IF(COUNTBLANK(Entrants!B34)=0,'Team Data'!A$2,0)</f>
        <v>0</v>
      </c>
      <c r="C21" s="359">
        <f>IF(COUNTBLANK(Entrants!B34)=0,Group!$B$8,0)</f>
        <v>0</v>
      </c>
      <c r="E21" s="359" t="str">
        <f>IF(TRIM(PROPER(Entrants!B34))="Zoe","Zoë",TRIM(PROPER(Entrants!B34)))</f>
        <v/>
      </c>
      <c r="F21" s="359" t="str">
        <f>TRIM(PROPER(Entrants!C34))</f>
        <v/>
      </c>
      <c r="G21" s="359">
        <f>IF(AND(Entrants!F34&gt;0,Entrants!F34&lt;1000000000),Entrants!F34,0)</f>
        <v>0</v>
      </c>
      <c r="H21" s="359">
        <f>IF(OR(AND(TYPE(Entrants!G34)=1,Entrants!G34&gt;1000),Entrants!G34="Y"),Entrants!G34,0)</f>
        <v>0</v>
      </c>
      <c r="I21" s="359" t="str">
        <f>UPPER(Entrants!I34)</f>
        <v/>
      </c>
      <c r="J21" s="359" t="str">
        <f>IF(Entrants!E34="F","F","")</f>
        <v/>
      </c>
      <c r="K21" s="359" t="str">
        <f>IF(Entrants!J34="R",TRUE,"")</f>
        <v/>
      </c>
      <c r="L21" s="359" t="str">
        <f>IF(Entrants!K34="X",TRUE,"")</f>
        <v/>
      </c>
      <c r="M21" s="359" t="str">
        <f>IF(Entrants!K34="N",TRUE,"")</f>
        <v/>
      </c>
      <c r="N21" s="361" t="str">
        <f>IF(Entrants!D34="","",Entrants!D34)</f>
        <v/>
      </c>
      <c r="O21" s="359" t="str">
        <f>IF(COUNTBLANK(Entrants!B34)=0,INT(Entrants!AC34),"")</f>
        <v/>
      </c>
      <c r="P21" s="359" t="str">
        <f>IF(COUNTBLANK(Entrants!B34)=1,"",IF(O21&lt;14,"J","S"))</f>
        <v/>
      </c>
      <c r="Q21" s="359" t="str">
        <f>IF(Entrants!B34="","",IF(Entrants!K34="n","PKEF",IF(Entrants!K34="x","K",TRUE)))</f>
        <v/>
      </c>
      <c r="R21" s="359" t="str">
        <f>IF(LEFT(Entrants!L34,1)="Y",TRUE,"")</f>
        <v/>
      </c>
      <c r="S21" s="359" t="str">
        <f>IF(LEFT(Entrants!M34,1)="Y",TRUE,"")</f>
        <v/>
      </c>
      <c r="T21" s="359" t="str">
        <f>IF(LEFT(Entrants!N34,1)="Y",TRUE,"")</f>
        <v/>
      </c>
      <c r="U21" s="359" t="str">
        <f>IF(LEFT(Entrants!O34,1)="Y",TRUE,"")</f>
        <v/>
      </c>
      <c r="V21" s="359" t="str">
        <f>IF(LEFT(Entrants!P34,1)="Y",TRUE,"")</f>
        <v/>
      </c>
      <c r="W21" s="359" t="str">
        <f>IF(Entrants!R34="Open",TRUE,"")</f>
        <v/>
      </c>
      <c r="X21" s="359" t="str">
        <f>IF(Entrants!R34="Sporter",TRUE,"")</f>
        <v/>
      </c>
      <c r="Y21" s="359" t="str">
        <f>IF(COUNTBLANK(Entrants!T34)=1,"",PROPER(Entrants!T34))</f>
        <v/>
      </c>
      <c r="Z21" s="359" t="str">
        <f>IF(LEFT(Entrants!Q34)="Y",TRUE,"")</f>
        <v/>
      </c>
      <c r="AA21" s="359" t="str">
        <f>IF(Entrants!V34="Y",TRUE,"")</f>
        <v/>
      </c>
      <c r="AB21" s="359" t="str">
        <f>IF(LEFT(Entrants!U34)="Y",TRUE,"")</f>
        <v/>
      </c>
      <c r="AC21" s="359" t="str">
        <f>IF(Entrants!W34="A",TRUE,"")</f>
        <v/>
      </c>
      <c r="AD21" s="359" t="str">
        <f>IF(Entrants!W34="B",TRUE,"")</f>
        <v/>
      </c>
      <c r="AE21" s="359" t="str">
        <f>IF(Entrants!X34="A",TRUE,"")</f>
        <v/>
      </c>
      <c r="AF21" s="359" t="str">
        <f>IF(Entrants!X34="B",TRUE,"")</f>
        <v/>
      </c>
      <c r="AG21" s="359" t="str">
        <f>IF(Entrants!X34="X",TRUE,"")</f>
        <v/>
      </c>
      <c r="AH21" s="359" t="str">
        <f>IF(Entrants!L34="Y","",IF(Entrants!L34="","",IF(ISERROR(VLOOKUP( Entrants!L34, Entrants!$P$144:$P$161,1,FALSE)),(Entrants!L34),"")))</f>
        <v/>
      </c>
      <c r="AI21" s="359" t="str">
        <f>IF(Entrants!M34="Y","",IF(Entrants!M34="","",IF(ISERROR(VLOOKUP( Entrants!M34, Entrants!$P$144:$P$161,1,FALSE)),(Entrants!M34),"")))</f>
        <v/>
      </c>
      <c r="AJ21" s="359" t="str">
        <f>IF(Entrants!N34="Y","",IF(Entrants!N34="","",IF(ISERROR(VLOOKUP( Entrants!N34, Entrants!$P$144:$P$161,1,FALSE)),(Entrants!N34),"")))</f>
        <v/>
      </c>
      <c r="AK21" s="359" t="str">
        <f>IF(Entrants!O34="Y","",IF(Entrants!O34="","",IF(ISERROR(VLOOKUP( Entrants!O34, Entrants!$P$144:$P$161,1,FALSE)),(Entrants!O34),"")))</f>
        <v/>
      </c>
      <c r="AL21" s="359" t="str">
        <f>IF(Entrants!P34="Y","",IF(Entrants!P34="","",IF(ISERROR(VLOOKUP( Entrants!P34, Entrants!$P$144:$P$161,1,FALSE)),(Entrants!P34),"")))</f>
        <v/>
      </c>
      <c r="AM21" s="359" t="str">
        <f>IF(LEN(Entrants!Q34)&gt;1,Entrants!Q34,"")</f>
        <v/>
      </c>
      <c r="AN21" s="359" t="str">
        <f>IF(Entrants!S34="Y","",IF(Entrants!S34="","",IF(ISERROR(VLOOKUP( Entrants!S34, Entrants!$P$144:$P$161,1,FALSE)),(Entrants!S34),"")))</f>
        <v/>
      </c>
      <c r="AO21" s="359" t="str">
        <f>IF(LEN(Entrants!U34)&gt;1,Entrants!U34,"")</f>
        <v/>
      </c>
      <c r="AP21" s="439" t="str">
        <f>Entrants!BH34</f>
        <v/>
      </c>
      <c r="AQ21" s="442"/>
      <c r="AR21" s="442"/>
      <c r="AS21" s="442"/>
    </row>
    <row r="22" spans="1:45" s="359" customFormat="1" x14ac:dyDescent="0.25">
      <c r="B22" s="359">
        <f>IF(COUNTBLANK(Entrants!B35)=0,'Team Data'!A$2,0)</f>
        <v>0</v>
      </c>
      <c r="C22" s="359">
        <f>IF(COUNTBLANK(Entrants!B35)=0,Group!$B$8,0)</f>
        <v>0</v>
      </c>
      <c r="E22" s="359" t="str">
        <f>IF(TRIM(PROPER(Entrants!B35))="Zoe","Zoë",TRIM(PROPER(Entrants!B35)))</f>
        <v/>
      </c>
      <c r="F22" s="359" t="str">
        <f>TRIM(PROPER(Entrants!C35))</f>
        <v/>
      </c>
      <c r="G22" s="359">
        <f>IF(AND(Entrants!F35&gt;0,Entrants!F35&lt;1000000000),Entrants!F35,0)</f>
        <v>0</v>
      </c>
      <c r="H22" s="359">
        <f>IF(OR(AND(TYPE(Entrants!G35)=1,Entrants!G35&gt;1000),Entrants!G35="Y"),Entrants!G35,0)</f>
        <v>0</v>
      </c>
      <c r="I22" s="359" t="str">
        <f>UPPER(Entrants!I35)</f>
        <v/>
      </c>
      <c r="J22" s="359" t="str">
        <f>IF(Entrants!E35="F","F","")</f>
        <v/>
      </c>
      <c r="K22" s="359" t="str">
        <f>IF(Entrants!J35="R",TRUE,"")</f>
        <v/>
      </c>
      <c r="L22" s="359" t="str">
        <f>IF(Entrants!K35="X",TRUE,"")</f>
        <v/>
      </c>
      <c r="M22" s="359" t="str">
        <f>IF(Entrants!K35="N",TRUE,"")</f>
        <v/>
      </c>
      <c r="N22" s="361" t="str">
        <f>IF(Entrants!D35="","",Entrants!D35)</f>
        <v/>
      </c>
      <c r="O22" s="359" t="str">
        <f>IF(COUNTBLANK(Entrants!B35)=0,INT(Entrants!AC35),"")</f>
        <v/>
      </c>
      <c r="P22" s="359" t="str">
        <f>IF(COUNTBLANK(Entrants!B35)=1,"",IF(O22&lt;14,"J","S"))</f>
        <v/>
      </c>
      <c r="Q22" s="359" t="str">
        <f>IF(Entrants!B35="","",IF(Entrants!K35="n","PKEF",IF(Entrants!K35="x","K",TRUE)))</f>
        <v/>
      </c>
      <c r="R22" s="359" t="str">
        <f>IF(LEFT(Entrants!L35,1)="Y",TRUE,"")</f>
        <v/>
      </c>
      <c r="S22" s="359" t="str">
        <f>IF(LEFT(Entrants!M35,1)="Y",TRUE,"")</f>
        <v/>
      </c>
      <c r="T22" s="359" t="str">
        <f>IF(LEFT(Entrants!N35,1)="Y",TRUE,"")</f>
        <v/>
      </c>
      <c r="U22" s="359" t="str">
        <f>IF(LEFT(Entrants!O35,1)="Y",TRUE,"")</f>
        <v/>
      </c>
      <c r="V22" s="359" t="str">
        <f>IF(LEFT(Entrants!P35,1)="Y",TRUE,"")</f>
        <v/>
      </c>
      <c r="W22" s="359" t="str">
        <f>IF(Entrants!R35="Open",TRUE,"")</f>
        <v/>
      </c>
      <c r="X22" s="359" t="str">
        <f>IF(Entrants!R35="Sporter",TRUE,"")</f>
        <v/>
      </c>
      <c r="Y22" s="359" t="str">
        <f>IF(COUNTBLANK(Entrants!T35)=1,"",PROPER(Entrants!T35))</f>
        <v/>
      </c>
      <c r="Z22" s="359" t="str">
        <f>IF(LEFT(Entrants!Q35)="Y",TRUE,"")</f>
        <v/>
      </c>
      <c r="AA22" s="359" t="str">
        <f>IF(Entrants!V35="Y",TRUE,"")</f>
        <v/>
      </c>
      <c r="AB22" s="359" t="str">
        <f>IF(LEFT(Entrants!U35)="Y",TRUE,"")</f>
        <v/>
      </c>
      <c r="AC22" s="359" t="str">
        <f>IF(Entrants!W35="A",TRUE,"")</f>
        <v/>
      </c>
      <c r="AD22" s="359" t="str">
        <f>IF(Entrants!W35="B",TRUE,"")</f>
        <v/>
      </c>
      <c r="AE22" s="359" t="str">
        <f>IF(Entrants!X35="A",TRUE,"")</f>
        <v/>
      </c>
      <c r="AF22" s="359" t="str">
        <f>IF(Entrants!X35="B",TRUE,"")</f>
        <v/>
      </c>
      <c r="AG22" s="359" t="str">
        <f>IF(Entrants!X35="X",TRUE,"")</f>
        <v/>
      </c>
      <c r="AH22" s="359" t="str">
        <f>IF(Entrants!L35="Y","",IF(Entrants!L35="","",IF(ISERROR(VLOOKUP( Entrants!L35, Entrants!$P$144:$P$161,1,FALSE)),(Entrants!L35),"")))</f>
        <v/>
      </c>
      <c r="AI22" s="359" t="str">
        <f>IF(Entrants!M35="Y","",IF(Entrants!M35="","",IF(ISERROR(VLOOKUP( Entrants!M35, Entrants!$P$144:$P$161,1,FALSE)),(Entrants!M35),"")))</f>
        <v/>
      </c>
      <c r="AJ22" s="359" t="str">
        <f>IF(Entrants!N35="Y","",IF(Entrants!N35="","",IF(ISERROR(VLOOKUP( Entrants!N35, Entrants!$P$144:$P$161,1,FALSE)),(Entrants!N35),"")))</f>
        <v/>
      </c>
      <c r="AK22" s="359" t="str">
        <f>IF(Entrants!O35="Y","",IF(Entrants!O35="","",IF(ISERROR(VLOOKUP( Entrants!O35, Entrants!$P$144:$P$161,1,FALSE)),(Entrants!O35),"")))</f>
        <v/>
      </c>
      <c r="AL22" s="359" t="str">
        <f>IF(Entrants!P35="Y","",IF(Entrants!P35="","",IF(ISERROR(VLOOKUP( Entrants!P35, Entrants!$P$144:$P$161,1,FALSE)),(Entrants!P35),"")))</f>
        <v/>
      </c>
      <c r="AM22" s="359" t="str">
        <f>IF(LEN(Entrants!Q35)&gt;1,Entrants!Q35,"")</f>
        <v/>
      </c>
      <c r="AN22" s="359" t="str">
        <f>IF(Entrants!S35="Y","",IF(Entrants!S35="","",IF(ISERROR(VLOOKUP( Entrants!S35, Entrants!$P$144:$P$161,1,FALSE)),(Entrants!S35),"")))</f>
        <v/>
      </c>
      <c r="AO22" s="359" t="str">
        <f>IF(LEN(Entrants!U35)&gt;1,Entrants!U35,"")</f>
        <v/>
      </c>
      <c r="AP22" s="439" t="str">
        <f>Entrants!BH35</f>
        <v/>
      </c>
      <c r="AQ22" s="442"/>
      <c r="AR22" s="442"/>
      <c r="AS22" s="442"/>
    </row>
    <row r="23" spans="1:45" s="359" customFormat="1" x14ac:dyDescent="0.25">
      <c r="B23" s="359">
        <f>IF(COUNTBLANK(Entrants!B36)=0,'Team Data'!A$2,0)</f>
        <v>0</v>
      </c>
      <c r="C23" s="359">
        <f>IF(COUNTBLANK(Entrants!B36)=0,Group!$B$8,0)</f>
        <v>0</v>
      </c>
      <c r="E23" s="359" t="str">
        <f>IF(TRIM(PROPER(Entrants!B36))="Zoe","Zoë",TRIM(PROPER(Entrants!B36)))</f>
        <v/>
      </c>
      <c r="F23" s="359" t="str">
        <f>TRIM(PROPER(Entrants!C36))</f>
        <v/>
      </c>
      <c r="G23" s="359">
        <f>IF(AND(Entrants!F36&gt;0,Entrants!F36&lt;1000000000),Entrants!F36,0)</f>
        <v>0</v>
      </c>
      <c r="H23" s="359">
        <f>IF(OR(AND(TYPE(Entrants!G36)=1,Entrants!G36&gt;1000),Entrants!G36="Y"),Entrants!G36,0)</f>
        <v>0</v>
      </c>
      <c r="I23" s="359" t="str">
        <f>UPPER(Entrants!I36)</f>
        <v/>
      </c>
      <c r="J23" s="359" t="str">
        <f>IF(Entrants!E36="F","F","")</f>
        <v/>
      </c>
      <c r="K23" s="359" t="str">
        <f>IF(Entrants!J36="R",TRUE,"")</f>
        <v/>
      </c>
      <c r="L23" s="359" t="str">
        <f>IF(Entrants!K36="X",TRUE,"")</f>
        <v/>
      </c>
      <c r="M23" s="359" t="str">
        <f>IF(Entrants!K36="N",TRUE,"")</f>
        <v/>
      </c>
      <c r="N23" s="361" t="str">
        <f>IF(Entrants!D36="","",Entrants!D36)</f>
        <v/>
      </c>
      <c r="O23" s="359" t="str">
        <f>IF(COUNTBLANK(Entrants!B36)=0,INT(Entrants!AC36),"")</f>
        <v/>
      </c>
      <c r="P23" s="359" t="str">
        <f>IF(COUNTBLANK(Entrants!B36)=1,"",IF(O23&lt;14,"J","S"))</f>
        <v/>
      </c>
      <c r="Q23" s="359" t="str">
        <f>IF(Entrants!B36="","",IF(Entrants!K36="n","PKEF",IF(Entrants!K36="x","K",TRUE)))</f>
        <v/>
      </c>
      <c r="R23" s="359" t="str">
        <f>IF(LEFT(Entrants!L36,1)="Y",TRUE,"")</f>
        <v/>
      </c>
      <c r="S23" s="359" t="str">
        <f>IF(LEFT(Entrants!M36,1)="Y",TRUE,"")</f>
        <v/>
      </c>
      <c r="T23" s="359" t="str">
        <f>IF(LEFT(Entrants!N36,1)="Y",TRUE,"")</f>
        <v/>
      </c>
      <c r="U23" s="359" t="str">
        <f>IF(LEFT(Entrants!O36,1)="Y",TRUE,"")</f>
        <v/>
      </c>
      <c r="V23" s="359" t="str">
        <f>IF(LEFT(Entrants!P36,1)="Y",TRUE,"")</f>
        <v/>
      </c>
      <c r="W23" s="359" t="str">
        <f>IF(Entrants!R36="Open",TRUE,"")</f>
        <v/>
      </c>
      <c r="X23" s="359" t="str">
        <f>IF(Entrants!R36="Sporter",TRUE,"")</f>
        <v/>
      </c>
      <c r="Y23" s="359" t="str">
        <f>IF(COUNTBLANK(Entrants!T36)=1,"",PROPER(Entrants!T36))</f>
        <v/>
      </c>
      <c r="Z23" s="359" t="str">
        <f>IF(LEFT(Entrants!Q36)="Y",TRUE,"")</f>
        <v/>
      </c>
      <c r="AA23" s="359" t="str">
        <f>IF(Entrants!V36="Y",TRUE,"")</f>
        <v/>
      </c>
      <c r="AB23" s="359" t="str">
        <f>IF(LEFT(Entrants!U36)="Y",TRUE,"")</f>
        <v/>
      </c>
      <c r="AC23" s="359" t="str">
        <f>IF(Entrants!W36="A",TRUE,"")</f>
        <v/>
      </c>
      <c r="AD23" s="359" t="str">
        <f>IF(Entrants!W36="B",TRUE,"")</f>
        <v/>
      </c>
      <c r="AE23" s="359" t="str">
        <f>IF(Entrants!X36="A",TRUE,"")</f>
        <v/>
      </c>
      <c r="AF23" s="359" t="str">
        <f>IF(Entrants!X36="B",TRUE,"")</f>
        <v/>
      </c>
      <c r="AG23" s="359" t="str">
        <f>IF(Entrants!X36="X",TRUE,"")</f>
        <v/>
      </c>
      <c r="AH23" s="359" t="str">
        <f>IF(Entrants!L36="Y","",IF(Entrants!L36="","",IF(ISERROR(VLOOKUP( Entrants!L36, Entrants!$P$144:$P$161,1,FALSE)),(Entrants!L36),"")))</f>
        <v/>
      </c>
      <c r="AI23" s="359" t="str">
        <f>IF(Entrants!M36="Y","",IF(Entrants!M36="","",IF(ISERROR(VLOOKUP( Entrants!M36, Entrants!$P$144:$P$161,1,FALSE)),(Entrants!M36),"")))</f>
        <v/>
      </c>
      <c r="AJ23" s="359" t="str">
        <f>IF(Entrants!N36="Y","",IF(Entrants!N36="","",IF(ISERROR(VLOOKUP( Entrants!N36, Entrants!$P$144:$P$161,1,FALSE)),(Entrants!N36),"")))</f>
        <v/>
      </c>
      <c r="AK23" s="359" t="str">
        <f>IF(Entrants!O36="Y","",IF(Entrants!O36="","",IF(ISERROR(VLOOKUP( Entrants!O36, Entrants!$P$144:$P$161,1,FALSE)),(Entrants!O36),"")))</f>
        <v/>
      </c>
      <c r="AL23" s="359" t="str">
        <f>IF(Entrants!P36="Y","",IF(Entrants!P36="","",IF(ISERROR(VLOOKUP( Entrants!P36, Entrants!$P$144:$P$161,1,FALSE)),(Entrants!P36),"")))</f>
        <v/>
      </c>
      <c r="AM23" s="359" t="str">
        <f>IF(LEN(Entrants!Q36)&gt;1,Entrants!Q36,"")</f>
        <v/>
      </c>
      <c r="AN23" s="359" t="str">
        <f>IF(Entrants!S36="Y","",IF(Entrants!S36="","",IF(ISERROR(VLOOKUP( Entrants!S36, Entrants!$P$144:$P$161,1,FALSE)),(Entrants!S36),"")))</f>
        <v/>
      </c>
      <c r="AO23" s="359" t="str">
        <f>IF(LEN(Entrants!U36)&gt;1,Entrants!U36,"")</f>
        <v/>
      </c>
      <c r="AP23" s="439" t="str">
        <f>Entrants!BH36</f>
        <v/>
      </c>
      <c r="AQ23" s="442"/>
      <c r="AR23" s="442"/>
      <c r="AS23" s="442"/>
    </row>
    <row r="24" spans="1:45" s="359" customFormat="1" x14ac:dyDescent="0.25">
      <c r="B24" s="359">
        <f>IF(COUNTBLANK(Entrants!B37)=0,'Team Data'!A$2,0)</f>
        <v>0</v>
      </c>
      <c r="C24" s="359">
        <f>IF(COUNTBLANK(Entrants!B37)=0,Group!$B$8,0)</f>
        <v>0</v>
      </c>
      <c r="E24" s="359" t="str">
        <f>IF(TRIM(PROPER(Entrants!B37))="Zoe","Zoë",TRIM(PROPER(Entrants!B37)))</f>
        <v/>
      </c>
      <c r="F24" s="359" t="str">
        <f>TRIM(PROPER(Entrants!C37))</f>
        <v/>
      </c>
      <c r="G24" s="359">
        <f>IF(AND(Entrants!F37&gt;0,Entrants!F37&lt;1000000000),Entrants!F37,0)</f>
        <v>0</v>
      </c>
      <c r="H24" s="359">
        <f>IF(OR(AND(TYPE(Entrants!G37)=1,Entrants!G37&gt;1000),Entrants!G37="Y"),Entrants!G37,0)</f>
        <v>0</v>
      </c>
      <c r="I24" s="359" t="str">
        <f>UPPER(Entrants!I37)</f>
        <v/>
      </c>
      <c r="J24" s="359" t="str">
        <f>IF(Entrants!E37="F","F","")</f>
        <v/>
      </c>
      <c r="K24" s="359" t="str">
        <f>IF(Entrants!J37="R",TRUE,"")</f>
        <v/>
      </c>
      <c r="L24" s="359" t="str">
        <f>IF(Entrants!K37="X",TRUE,"")</f>
        <v/>
      </c>
      <c r="M24" s="359" t="str">
        <f>IF(Entrants!K37="N",TRUE,"")</f>
        <v/>
      </c>
      <c r="N24" s="361" t="str">
        <f>IF(Entrants!D37="","",Entrants!D37)</f>
        <v/>
      </c>
      <c r="O24" s="359" t="str">
        <f>IF(COUNTBLANK(Entrants!B37)=0,INT(Entrants!AC37),"")</f>
        <v/>
      </c>
      <c r="P24" s="359" t="str">
        <f>IF(COUNTBLANK(Entrants!B37)=1,"",IF(O24&lt;14,"J","S"))</f>
        <v/>
      </c>
      <c r="Q24" s="359" t="str">
        <f>IF(Entrants!B37="","",IF(Entrants!K37="n","PKEF",IF(Entrants!K37="x","K",TRUE)))</f>
        <v/>
      </c>
      <c r="R24" s="359" t="str">
        <f>IF(LEFT(Entrants!L37,1)="Y",TRUE,"")</f>
        <v/>
      </c>
      <c r="S24" s="359" t="str">
        <f>IF(LEFT(Entrants!M37,1)="Y",TRUE,"")</f>
        <v/>
      </c>
      <c r="T24" s="359" t="str">
        <f>IF(LEFT(Entrants!N37,1)="Y",TRUE,"")</f>
        <v/>
      </c>
      <c r="U24" s="359" t="str">
        <f>IF(LEFT(Entrants!O37,1)="Y",TRUE,"")</f>
        <v/>
      </c>
      <c r="V24" s="359" t="str">
        <f>IF(LEFT(Entrants!P37,1)="Y",TRUE,"")</f>
        <v/>
      </c>
      <c r="W24" s="359" t="str">
        <f>IF(Entrants!R37="Open",TRUE,"")</f>
        <v/>
      </c>
      <c r="X24" s="359" t="str">
        <f>IF(Entrants!R37="Sporter",TRUE,"")</f>
        <v/>
      </c>
      <c r="Y24" s="359" t="str">
        <f>IF(COUNTBLANK(Entrants!T37)=1,"",PROPER(Entrants!T37))</f>
        <v/>
      </c>
      <c r="Z24" s="359" t="str">
        <f>IF(LEFT(Entrants!Q37)="Y",TRUE,"")</f>
        <v/>
      </c>
      <c r="AA24" s="359" t="str">
        <f>IF(Entrants!V37="Y",TRUE,"")</f>
        <v/>
      </c>
      <c r="AB24" s="359" t="str">
        <f>IF(LEFT(Entrants!U37)="Y",TRUE,"")</f>
        <v/>
      </c>
      <c r="AC24" s="359" t="str">
        <f>IF(Entrants!W37="A",TRUE,"")</f>
        <v/>
      </c>
      <c r="AD24" s="359" t="str">
        <f>IF(Entrants!W37="B",TRUE,"")</f>
        <v/>
      </c>
      <c r="AE24" s="359" t="str">
        <f>IF(Entrants!X37="A",TRUE,"")</f>
        <v/>
      </c>
      <c r="AF24" s="359" t="str">
        <f>IF(Entrants!X37="B",TRUE,"")</f>
        <v/>
      </c>
      <c r="AG24" s="359" t="str">
        <f>IF(Entrants!X37="X",TRUE,"")</f>
        <v/>
      </c>
      <c r="AH24" s="359" t="str">
        <f>IF(Entrants!L37="Y","",IF(Entrants!L37="","",IF(ISERROR(VLOOKUP( Entrants!L37, Entrants!$P$144:$P$161,1,FALSE)),(Entrants!L37),"")))</f>
        <v/>
      </c>
      <c r="AI24" s="359" t="str">
        <f>IF(Entrants!M37="Y","",IF(Entrants!M37="","",IF(ISERROR(VLOOKUP( Entrants!M37, Entrants!$P$144:$P$161,1,FALSE)),(Entrants!M37),"")))</f>
        <v/>
      </c>
      <c r="AJ24" s="359" t="str">
        <f>IF(Entrants!N37="Y","",IF(Entrants!N37="","",IF(ISERROR(VLOOKUP( Entrants!N37, Entrants!$P$144:$P$161,1,FALSE)),(Entrants!N37),"")))</f>
        <v/>
      </c>
      <c r="AK24" s="359" t="str">
        <f>IF(Entrants!O37="Y","",IF(Entrants!O37="","",IF(ISERROR(VLOOKUP( Entrants!O37, Entrants!$P$144:$P$161,1,FALSE)),(Entrants!O37),"")))</f>
        <v/>
      </c>
      <c r="AL24" s="359" t="str">
        <f>IF(Entrants!P37="Y","",IF(Entrants!P37="","",IF(ISERROR(VLOOKUP( Entrants!P37, Entrants!$P$144:$P$161,1,FALSE)),(Entrants!P37),"")))</f>
        <v/>
      </c>
      <c r="AM24" s="359" t="str">
        <f>IF(LEN(Entrants!Q37)&gt;1,Entrants!Q37,"")</f>
        <v/>
      </c>
      <c r="AN24" s="359" t="str">
        <f>IF(Entrants!S37="Y","",IF(Entrants!S37="","",IF(ISERROR(VLOOKUP( Entrants!S37, Entrants!$P$144:$P$161,1,FALSE)),(Entrants!S37),"")))</f>
        <v/>
      </c>
      <c r="AO24" s="359" t="str">
        <f>IF(LEN(Entrants!U37)&gt;1,Entrants!U37,"")</f>
        <v/>
      </c>
      <c r="AP24" s="439" t="str">
        <f>Entrants!BH37</f>
        <v/>
      </c>
      <c r="AQ24" s="442"/>
      <c r="AR24" s="442"/>
      <c r="AS24" s="442"/>
    </row>
    <row r="25" spans="1:45" s="359" customFormat="1" x14ac:dyDescent="0.25">
      <c r="B25" s="359">
        <f>IF(COUNTBLANK(Entrants!B38)=0,'Team Data'!A$2,0)</f>
        <v>0</v>
      </c>
      <c r="C25" s="359">
        <f>IF(COUNTBLANK(Entrants!B38)=0,Group!$B$8,0)</f>
        <v>0</v>
      </c>
      <c r="E25" s="359" t="str">
        <f>IF(TRIM(PROPER(Entrants!B38))="Zoe","Zoë",TRIM(PROPER(Entrants!B38)))</f>
        <v/>
      </c>
      <c r="F25" s="359" t="str">
        <f>TRIM(PROPER(Entrants!C38))</f>
        <v/>
      </c>
      <c r="G25" s="359">
        <f>IF(AND(Entrants!F38&gt;0,Entrants!F38&lt;1000000000),Entrants!F38,0)</f>
        <v>0</v>
      </c>
      <c r="H25" s="359">
        <f>IF(OR(AND(TYPE(Entrants!G38)=1,Entrants!G38&gt;1000),Entrants!G38="Y"),Entrants!G38,0)</f>
        <v>0</v>
      </c>
      <c r="I25" s="359" t="str">
        <f>UPPER(Entrants!I38)</f>
        <v/>
      </c>
      <c r="J25" s="359" t="str">
        <f>IF(Entrants!E38="F","F","")</f>
        <v/>
      </c>
      <c r="K25" s="359" t="str">
        <f>IF(Entrants!J38="R",TRUE,"")</f>
        <v/>
      </c>
      <c r="L25" s="359" t="str">
        <f>IF(Entrants!K38="X",TRUE,"")</f>
        <v/>
      </c>
      <c r="M25" s="359" t="str">
        <f>IF(Entrants!K38="N",TRUE,"")</f>
        <v/>
      </c>
      <c r="N25" s="361" t="str">
        <f>IF(Entrants!D38="","",Entrants!D38)</f>
        <v/>
      </c>
      <c r="O25" s="359" t="str">
        <f>IF(COUNTBLANK(Entrants!B38)=0,INT(Entrants!AC38),"")</f>
        <v/>
      </c>
      <c r="P25" s="359" t="str">
        <f>IF(COUNTBLANK(Entrants!B38)=1,"",IF(O25&lt;14,"J","S"))</f>
        <v/>
      </c>
      <c r="Q25" s="359" t="str">
        <f>IF(Entrants!B38="","",IF(Entrants!K38="n","PKEF",IF(Entrants!K38="x","K",TRUE)))</f>
        <v/>
      </c>
      <c r="R25" s="359" t="str">
        <f>IF(LEFT(Entrants!L38,1)="Y",TRUE,"")</f>
        <v/>
      </c>
      <c r="S25" s="359" t="str">
        <f>IF(LEFT(Entrants!M38,1)="Y",TRUE,"")</f>
        <v/>
      </c>
      <c r="T25" s="359" t="str">
        <f>IF(LEFT(Entrants!N38,1)="Y",TRUE,"")</f>
        <v/>
      </c>
      <c r="U25" s="359" t="str">
        <f>IF(LEFT(Entrants!O38,1)="Y",TRUE,"")</f>
        <v/>
      </c>
      <c r="V25" s="359" t="str">
        <f>IF(LEFT(Entrants!P38,1)="Y",TRUE,"")</f>
        <v/>
      </c>
      <c r="W25" s="359" t="str">
        <f>IF(Entrants!R38="Open",TRUE,"")</f>
        <v/>
      </c>
      <c r="X25" s="359" t="str">
        <f>IF(Entrants!R38="Sporter",TRUE,"")</f>
        <v/>
      </c>
      <c r="Y25" s="359" t="str">
        <f>IF(COUNTBLANK(Entrants!T38)=1,"",PROPER(Entrants!T38))</f>
        <v/>
      </c>
      <c r="Z25" s="359" t="str">
        <f>IF(LEFT(Entrants!Q38)="Y",TRUE,"")</f>
        <v/>
      </c>
      <c r="AA25" s="359" t="str">
        <f>IF(Entrants!V38="Y",TRUE,"")</f>
        <v/>
      </c>
      <c r="AB25" s="359" t="str">
        <f>IF(LEFT(Entrants!U38)="Y",TRUE,"")</f>
        <v/>
      </c>
      <c r="AC25" s="359" t="str">
        <f>IF(Entrants!W38="A",TRUE,"")</f>
        <v/>
      </c>
      <c r="AD25" s="359" t="str">
        <f>IF(Entrants!W38="B",TRUE,"")</f>
        <v/>
      </c>
      <c r="AE25" s="359" t="str">
        <f>IF(Entrants!X38="A",TRUE,"")</f>
        <v/>
      </c>
      <c r="AF25" s="359" t="str">
        <f>IF(Entrants!X38="B",TRUE,"")</f>
        <v/>
      </c>
      <c r="AG25" s="359" t="str">
        <f>IF(Entrants!X38="X",TRUE,"")</f>
        <v/>
      </c>
      <c r="AH25" s="359" t="str">
        <f>IF(Entrants!L38="Y","",IF(Entrants!L38="","",IF(ISERROR(VLOOKUP( Entrants!L38, Entrants!$P$144:$P$161,1,FALSE)),(Entrants!L38),"")))</f>
        <v/>
      </c>
      <c r="AI25" s="359" t="str">
        <f>IF(Entrants!M38="Y","",IF(Entrants!M38="","",IF(ISERROR(VLOOKUP( Entrants!M38, Entrants!$P$144:$P$161,1,FALSE)),(Entrants!M38),"")))</f>
        <v/>
      </c>
      <c r="AJ25" s="359" t="str">
        <f>IF(Entrants!N38="Y","",IF(Entrants!N38="","",IF(ISERROR(VLOOKUP( Entrants!N38, Entrants!$P$144:$P$161,1,FALSE)),(Entrants!N38),"")))</f>
        <v/>
      </c>
      <c r="AK25" s="359" t="str">
        <f>IF(Entrants!O38="Y","",IF(Entrants!O38="","",IF(ISERROR(VLOOKUP( Entrants!O38, Entrants!$P$144:$P$161,1,FALSE)),(Entrants!O38),"")))</f>
        <v/>
      </c>
      <c r="AL25" s="359" t="str">
        <f>IF(Entrants!P38="Y","",IF(Entrants!P38="","",IF(ISERROR(VLOOKUP( Entrants!P38, Entrants!$P$144:$P$161,1,FALSE)),(Entrants!P38),"")))</f>
        <v/>
      </c>
      <c r="AM25" s="359" t="str">
        <f>IF(LEN(Entrants!Q38)&gt;1,Entrants!Q38,"")</f>
        <v/>
      </c>
      <c r="AN25" s="359" t="str">
        <f>IF(Entrants!S38="Y","",IF(Entrants!S38="","",IF(ISERROR(VLOOKUP( Entrants!S38, Entrants!$P$144:$P$161,1,FALSE)),(Entrants!S38),"")))</f>
        <v/>
      </c>
      <c r="AO25" s="359" t="str">
        <f>IF(LEN(Entrants!U38)&gt;1,Entrants!U38,"")</f>
        <v/>
      </c>
      <c r="AP25" s="439" t="str">
        <f>Entrants!BH38</f>
        <v/>
      </c>
      <c r="AQ25" s="442"/>
      <c r="AR25" s="442"/>
      <c r="AS25" s="442"/>
    </row>
    <row r="26" spans="1:45" s="359" customFormat="1" x14ac:dyDescent="0.25">
      <c r="B26" s="359">
        <f>IF(COUNTBLANK(Entrants!B39)=0,'Team Data'!A$2,0)</f>
        <v>0</v>
      </c>
      <c r="C26" s="359">
        <f>IF(COUNTBLANK(Entrants!B39)=0,Group!$B$8,0)</f>
        <v>0</v>
      </c>
      <c r="E26" s="359" t="str">
        <f>IF(TRIM(PROPER(Entrants!B39))="Zoe","Zoë",TRIM(PROPER(Entrants!B39)))</f>
        <v/>
      </c>
      <c r="F26" s="359" t="str">
        <f>TRIM(PROPER(Entrants!C39))</f>
        <v/>
      </c>
      <c r="G26" s="359">
        <f>IF(AND(Entrants!F39&gt;0,Entrants!F39&lt;1000000000),Entrants!F39,0)</f>
        <v>0</v>
      </c>
      <c r="H26" s="359">
        <f>IF(OR(AND(TYPE(Entrants!G39)=1,Entrants!G39&gt;1000),Entrants!G39="Y"),Entrants!G39,0)</f>
        <v>0</v>
      </c>
      <c r="I26" s="359" t="str">
        <f>UPPER(Entrants!I39)</f>
        <v/>
      </c>
      <c r="J26" s="359" t="str">
        <f>IF(Entrants!E39="F","F","")</f>
        <v/>
      </c>
      <c r="K26" s="359" t="str">
        <f>IF(Entrants!J39="R",TRUE,"")</f>
        <v/>
      </c>
      <c r="L26" s="359" t="str">
        <f>IF(Entrants!K39="X",TRUE,"")</f>
        <v/>
      </c>
      <c r="M26" s="359" t="str">
        <f>IF(Entrants!K39="N",TRUE,"")</f>
        <v/>
      </c>
      <c r="N26" s="361" t="str">
        <f>IF(Entrants!D39="","",Entrants!D39)</f>
        <v/>
      </c>
      <c r="O26" s="359" t="str">
        <f>IF(COUNTBLANK(Entrants!B39)=0,INT(Entrants!AC39),"")</f>
        <v/>
      </c>
      <c r="P26" s="359" t="str">
        <f>IF(COUNTBLANK(Entrants!B39)=1,"",IF(O26&lt;14,"J","S"))</f>
        <v/>
      </c>
      <c r="Q26" s="359" t="str">
        <f>IF(Entrants!B39="","",IF(Entrants!K39="n","PKEF",IF(Entrants!K39="x","K",TRUE)))</f>
        <v/>
      </c>
      <c r="R26" s="359" t="str">
        <f>IF(LEFT(Entrants!L39,1)="Y",TRUE,"")</f>
        <v/>
      </c>
      <c r="S26" s="359" t="str">
        <f>IF(LEFT(Entrants!M39,1)="Y",TRUE,"")</f>
        <v/>
      </c>
      <c r="T26" s="359" t="str">
        <f>IF(LEFT(Entrants!N39,1)="Y",TRUE,"")</f>
        <v/>
      </c>
      <c r="U26" s="359" t="str">
        <f>IF(LEFT(Entrants!O39,1)="Y",TRUE,"")</f>
        <v/>
      </c>
      <c r="V26" s="359" t="str">
        <f>IF(LEFT(Entrants!P39,1)="Y",TRUE,"")</f>
        <v/>
      </c>
      <c r="W26" s="359" t="str">
        <f>IF(Entrants!R39="Open",TRUE,"")</f>
        <v/>
      </c>
      <c r="X26" s="359" t="str">
        <f>IF(Entrants!R39="Sporter",TRUE,"")</f>
        <v/>
      </c>
      <c r="Y26" s="359" t="str">
        <f>IF(COUNTBLANK(Entrants!T39)=1,"",PROPER(Entrants!T39))</f>
        <v/>
      </c>
      <c r="Z26" s="359" t="str">
        <f>IF(LEFT(Entrants!Q39)="Y",TRUE,"")</f>
        <v/>
      </c>
      <c r="AA26" s="359" t="str">
        <f>IF(Entrants!V39="Y",TRUE,"")</f>
        <v/>
      </c>
      <c r="AB26" s="359" t="str">
        <f>IF(LEFT(Entrants!U39)="Y",TRUE,"")</f>
        <v/>
      </c>
      <c r="AC26" s="359" t="str">
        <f>IF(Entrants!W39="A",TRUE,"")</f>
        <v/>
      </c>
      <c r="AD26" s="359" t="str">
        <f>IF(Entrants!W39="B",TRUE,"")</f>
        <v/>
      </c>
      <c r="AE26" s="359" t="str">
        <f>IF(Entrants!X39="A",TRUE,"")</f>
        <v/>
      </c>
      <c r="AF26" s="359" t="str">
        <f>IF(Entrants!X39="B",TRUE,"")</f>
        <v/>
      </c>
      <c r="AG26" s="359" t="str">
        <f>IF(Entrants!X39="X",TRUE,"")</f>
        <v/>
      </c>
      <c r="AH26" s="359" t="str">
        <f>IF(Entrants!L39="Y","",IF(Entrants!L39="","",IF(ISERROR(VLOOKUP( Entrants!L39, Entrants!$P$144:$P$161,1,FALSE)),(Entrants!L39),"")))</f>
        <v/>
      </c>
      <c r="AI26" s="359" t="str">
        <f>IF(Entrants!M39="Y","",IF(Entrants!M39="","",IF(ISERROR(VLOOKUP( Entrants!M39, Entrants!$P$144:$P$161,1,FALSE)),(Entrants!M39),"")))</f>
        <v/>
      </c>
      <c r="AJ26" s="359" t="str">
        <f>IF(Entrants!N39="Y","",IF(Entrants!N39="","",IF(ISERROR(VLOOKUP( Entrants!N39, Entrants!$P$144:$P$161,1,FALSE)),(Entrants!N39),"")))</f>
        <v/>
      </c>
      <c r="AK26" s="359" t="str">
        <f>IF(Entrants!O39="Y","",IF(Entrants!O39="","",IF(ISERROR(VLOOKUP( Entrants!O39, Entrants!$P$144:$P$161,1,FALSE)),(Entrants!O39),"")))</f>
        <v/>
      </c>
      <c r="AL26" s="359" t="str">
        <f>IF(Entrants!P39="Y","",IF(Entrants!P39="","",IF(ISERROR(VLOOKUP( Entrants!P39, Entrants!$P$144:$P$161,1,FALSE)),(Entrants!P39),"")))</f>
        <v/>
      </c>
      <c r="AM26" s="359" t="str">
        <f>IF(LEN(Entrants!Q39)&gt;1,Entrants!Q39,"")</f>
        <v/>
      </c>
      <c r="AN26" s="359" t="str">
        <f>IF(Entrants!S39="Y","",IF(Entrants!S39="","",IF(ISERROR(VLOOKUP( Entrants!S39, Entrants!$P$144:$P$161,1,FALSE)),(Entrants!S39),"")))</f>
        <v/>
      </c>
      <c r="AO26" s="359" t="str">
        <f>IF(LEN(Entrants!U39)&gt;1,Entrants!U39,"")</f>
        <v/>
      </c>
      <c r="AP26" s="439" t="str">
        <f>Entrants!BH39</f>
        <v/>
      </c>
      <c r="AQ26" s="442"/>
      <c r="AR26" s="442"/>
      <c r="AS26" s="442"/>
    </row>
    <row r="27" spans="1:45" s="359" customFormat="1" x14ac:dyDescent="0.25">
      <c r="B27" s="359">
        <f>IF(COUNTBLANK(Entrants!B40)=0,'Team Data'!A$2,0)</f>
        <v>0</v>
      </c>
      <c r="C27" s="359">
        <f>IF(COUNTBLANK(Entrants!B40)=0,Group!$B$8,0)</f>
        <v>0</v>
      </c>
      <c r="E27" s="359" t="str">
        <f>IF(TRIM(PROPER(Entrants!B40))="Zoe","Zoë",TRIM(PROPER(Entrants!B40)))</f>
        <v/>
      </c>
      <c r="F27" s="359" t="str">
        <f>TRIM(PROPER(Entrants!C40))</f>
        <v/>
      </c>
      <c r="G27" s="359">
        <f>IF(AND(Entrants!F40&gt;0,Entrants!F40&lt;1000000000),Entrants!F40,0)</f>
        <v>0</v>
      </c>
      <c r="H27" s="359">
        <f>IF(OR(AND(TYPE(Entrants!G40)=1,Entrants!G40&gt;1000),Entrants!G40="Y"),Entrants!G40,0)</f>
        <v>0</v>
      </c>
      <c r="I27" s="359" t="str">
        <f>UPPER(Entrants!I40)</f>
        <v/>
      </c>
      <c r="J27" s="359" t="str">
        <f>IF(Entrants!E40="F","F","")</f>
        <v/>
      </c>
      <c r="K27" s="359" t="str">
        <f>IF(Entrants!J40="R",TRUE,"")</f>
        <v/>
      </c>
      <c r="L27" s="359" t="str">
        <f>IF(Entrants!K40="X",TRUE,"")</f>
        <v/>
      </c>
      <c r="M27" s="359" t="str">
        <f>IF(Entrants!K40="N",TRUE,"")</f>
        <v/>
      </c>
      <c r="N27" s="361" t="str">
        <f>IF(Entrants!D40="","",Entrants!D40)</f>
        <v/>
      </c>
      <c r="O27" s="359" t="str">
        <f>IF(COUNTBLANK(Entrants!B40)=0,INT(Entrants!AC40),"")</f>
        <v/>
      </c>
      <c r="P27" s="359" t="str">
        <f>IF(COUNTBLANK(Entrants!B40)=1,"",IF(O27&lt;14,"J","S"))</f>
        <v/>
      </c>
      <c r="Q27" s="359" t="str">
        <f>IF(Entrants!B40="","",IF(Entrants!K40="n","PKEF",IF(Entrants!K40="x","K",TRUE)))</f>
        <v/>
      </c>
      <c r="R27" s="359" t="str">
        <f>IF(LEFT(Entrants!L40,1)="Y",TRUE,"")</f>
        <v/>
      </c>
      <c r="S27" s="359" t="str">
        <f>IF(LEFT(Entrants!M40,1)="Y",TRUE,"")</f>
        <v/>
      </c>
      <c r="T27" s="359" t="str">
        <f>IF(LEFT(Entrants!N40,1)="Y",TRUE,"")</f>
        <v/>
      </c>
      <c r="U27" s="359" t="str">
        <f>IF(LEFT(Entrants!O40,1)="Y",TRUE,"")</f>
        <v/>
      </c>
      <c r="V27" s="359" t="str">
        <f>IF(LEFT(Entrants!P40,1)="Y",TRUE,"")</f>
        <v/>
      </c>
      <c r="W27" s="359" t="str">
        <f>IF(Entrants!R40="Open",TRUE,"")</f>
        <v/>
      </c>
      <c r="X27" s="359" t="str">
        <f>IF(Entrants!R40="Sporter",TRUE,"")</f>
        <v/>
      </c>
      <c r="Y27" s="359" t="str">
        <f>IF(COUNTBLANK(Entrants!T40)=1,"",PROPER(Entrants!T40))</f>
        <v/>
      </c>
      <c r="Z27" s="359" t="str">
        <f>IF(LEFT(Entrants!Q40)="Y",TRUE,"")</f>
        <v/>
      </c>
      <c r="AA27" s="359" t="str">
        <f>IF(Entrants!V40="Y",TRUE,"")</f>
        <v/>
      </c>
      <c r="AB27" s="359" t="str">
        <f>IF(LEFT(Entrants!U40)="Y",TRUE,"")</f>
        <v/>
      </c>
      <c r="AC27" s="359" t="str">
        <f>IF(Entrants!W40="A",TRUE,"")</f>
        <v/>
      </c>
      <c r="AD27" s="359" t="str">
        <f>IF(Entrants!W40="B",TRUE,"")</f>
        <v/>
      </c>
      <c r="AE27" s="359" t="str">
        <f>IF(Entrants!X40="A",TRUE,"")</f>
        <v/>
      </c>
      <c r="AF27" s="359" t="str">
        <f>IF(Entrants!X40="B",TRUE,"")</f>
        <v/>
      </c>
      <c r="AG27" s="359" t="str">
        <f>IF(Entrants!X40="X",TRUE,"")</f>
        <v/>
      </c>
      <c r="AH27" s="359" t="str">
        <f>IF(Entrants!L40="Y","",IF(Entrants!L40="","",IF(ISERROR(VLOOKUP( Entrants!L40, Entrants!$P$144:$P$161,1,FALSE)),(Entrants!L40),"")))</f>
        <v/>
      </c>
      <c r="AI27" s="359" t="str">
        <f>IF(Entrants!M40="Y","",IF(Entrants!M40="","",IF(ISERROR(VLOOKUP( Entrants!M40, Entrants!$P$144:$P$161,1,FALSE)),(Entrants!M40),"")))</f>
        <v/>
      </c>
      <c r="AJ27" s="359" t="str">
        <f>IF(Entrants!N40="Y","",IF(Entrants!N40="","",IF(ISERROR(VLOOKUP( Entrants!N40, Entrants!$P$144:$P$161,1,FALSE)),(Entrants!N40),"")))</f>
        <v/>
      </c>
      <c r="AK27" s="359" t="str">
        <f>IF(Entrants!O40="Y","",IF(Entrants!O40="","",IF(ISERROR(VLOOKUP( Entrants!O40, Entrants!$P$144:$P$161,1,FALSE)),(Entrants!O40),"")))</f>
        <v/>
      </c>
      <c r="AL27" s="359" t="str">
        <f>IF(Entrants!P40="Y","",IF(Entrants!P40="","",IF(ISERROR(VLOOKUP( Entrants!P40, Entrants!$P$144:$P$161,1,FALSE)),(Entrants!P40),"")))</f>
        <v/>
      </c>
      <c r="AM27" s="359" t="str">
        <f>IF(LEN(Entrants!Q40)&gt;1,Entrants!Q40,"")</f>
        <v/>
      </c>
      <c r="AN27" s="359" t="str">
        <f>IF(Entrants!S40="Y","",IF(Entrants!S40="","",IF(ISERROR(VLOOKUP( Entrants!S40, Entrants!$P$144:$P$161,1,FALSE)),(Entrants!S40),"")))</f>
        <v/>
      </c>
      <c r="AO27" s="359" t="str">
        <f>IF(LEN(Entrants!U40)&gt;1,Entrants!U40,"")</f>
        <v/>
      </c>
      <c r="AP27" s="439" t="str">
        <f>Entrants!BH40</f>
        <v/>
      </c>
      <c r="AQ27" s="442"/>
      <c r="AR27" s="442"/>
      <c r="AS27" s="442"/>
    </row>
    <row r="28" spans="1:45" s="359" customFormat="1" x14ac:dyDescent="0.25">
      <c r="B28" s="359">
        <f>IF(COUNTBLANK(Entrants!B41)=0,'Team Data'!A$2,0)</f>
        <v>0</v>
      </c>
      <c r="C28" s="359">
        <f>IF(COUNTBLANK(Entrants!B41)=0,Group!$B$8,0)</f>
        <v>0</v>
      </c>
      <c r="E28" s="359" t="str">
        <f>IF(TRIM(PROPER(Entrants!B41))="Zoe","Zoë",TRIM(PROPER(Entrants!B41)))</f>
        <v/>
      </c>
      <c r="F28" s="359" t="str">
        <f>TRIM(PROPER(Entrants!C41))</f>
        <v/>
      </c>
      <c r="G28" s="359">
        <f>IF(AND(Entrants!F41&gt;0,Entrants!F41&lt;1000000000),Entrants!F41,0)</f>
        <v>0</v>
      </c>
      <c r="H28" s="359">
        <f>IF(OR(AND(TYPE(Entrants!G41)=1,Entrants!G41&gt;1000),Entrants!G41="Y"),Entrants!G41,0)</f>
        <v>0</v>
      </c>
      <c r="I28" s="359" t="str">
        <f>UPPER(Entrants!I41)</f>
        <v/>
      </c>
      <c r="J28" s="359" t="str">
        <f>IF(Entrants!E41="F","F","")</f>
        <v/>
      </c>
      <c r="K28" s="359" t="str">
        <f>IF(Entrants!J41="R",TRUE,"")</f>
        <v/>
      </c>
      <c r="L28" s="359" t="str">
        <f>IF(Entrants!K41="X",TRUE,"")</f>
        <v/>
      </c>
      <c r="M28" s="359" t="str">
        <f>IF(Entrants!K41="N",TRUE,"")</f>
        <v/>
      </c>
      <c r="N28" s="361" t="str">
        <f>IF(Entrants!D41="","",Entrants!D41)</f>
        <v/>
      </c>
      <c r="O28" s="359" t="str">
        <f>IF(COUNTBLANK(Entrants!B41)=0,INT(Entrants!AC41),"")</f>
        <v/>
      </c>
      <c r="P28" s="359" t="str">
        <f>IF(COUNTBLANK(Entrants!B41)=1,"",IF(O28&lt;14,"J","S"))</f>
        <v/>
      </c>
      <c r="Q28" s="359" t="str">
        <f>IF(Entrants!B41="","",IF(Entrants!K41="n","PKEF",IF(Entrants!K41="x","K",TRUE)))</f>
        <v/>
      </c>
      <c r="R28" s="359" t="str">
        <f>IF(LEFT(Entrants!L41,1)="Y",TRUE,"")</f>
        <v/>
      </c>
      <c r="S28" s="359" t="str">
        <f>IF(LEFT(Entrants!M41,1)="Y",TRUE,"")</f>
        <v/>
      </c>
      <c r="T28" s="359" t="str">
        <f>IF(LEFT(Entrants!N41,1)="Y",TRUE,"")</f>
        <v/>
      </c>
      <c r="U28" s="359" t="str">
        <f>IF(LEFT(Entrants!O41,1)="Y",TRUE,"")</f>
        <v/>
      </c>
      <c r="V28" s="359" t="str">
        <f>IF(LEFT(Entrants!P41,1)="Y",TRUE,"")</f>
        <v/>
      </c>
      <c r="W28" s="359" t="str">
        <f>IF(Entrants!R41="Open",TRUE,"")</f>
        <v/>
      </c>
      <c r="X28" s="359" t="str">
        <f>IF(Entrants!R41="Sporter",TRUE,"")</f>
        <v/>
      </c>
      <c r="Y28" s="359" t="str">
        <f>IF(COUNTBLANK(Entrants!T41)=1,"",PROPER(Entrants!T41))</f>
        <v/>
      </c>
      <c r="Z28" s="359" t="str">
        <f>IF(LEFT(Entrants!Q41)="Y",TRUE,"")</f>
        <v/>
      </c>
      <c r="AA28" s="359" t="str">
        <f>IF(Entrants!V41="Y",TRUE,"")</f>
        <v/>
      </c>
      <c r="AB28" s="359" t="str">
        <f>IF(LEFT(Entrants!U41)="Y",TRUE,"")</f>
        <v/>
      </c>
      <c r="AC28" s="359" t="str">
        <f>IF(Entrants!W41="A",TRUE,"")</f>
        <v/>
      </c>
      <c r="AD28" s="359" t="str">
        <f>IF(Entrants!W41="B",TRUE,"")</f>
        <v/>
      </c>
      <c r="AE28" s="359" t="str">
        <f>IF(Entrants!X41="A",TRUE,"")</f>
        <v/>
      </c>
      <c r="AF28" s="359" t="str">
        <f>IF(Entrants!X41="B",TRUE,"")</f>
        <v/>
      </c>
      <c r="AG28" s="359" t="str">
        <f>IF(Entrants!X41="X",TRUE,"")</f>
        <v/>
      </c>
      <c r="AH28" s="359" t="str">
        <f>IF(Entrants!L41="Y","",IF(Entrants!L41="","",IF(ISERROR(VLOOKUP( Entrants!L41, Entrants!$P$144:$P$161,1,FALSE)),(Entrants!L41),"")))</f>
        <v/>
      </c>
      <c r="AI28" s="359" t="str">
        <f>IF(Entrants!M41="Y","",IF(Entrants!M41="","",IF(ISERROR(VLOOKUP( Entrants!M41, Entrants!$P$144:$P$161,1,FALSE)),(Entrants!M41),"")))</f>
        <v/>
      </c>
      <c r="AJ28" s="359" t="str">
        <f>IF(Entrants!N41="Y","",IF(Entrants!N41="","",IF(ISERROR(VLOOKUP( Entrants!N41, Entrants!$P$144:$P$161,1,FALSE)),(Entrants!N41),"")))</f>
        <v/>
      </c>
      <c r="AK28" s="359" t="str">
        <f>IF(Entrants!O41="Y","",IF(Entrants!O41="","",IF(ISERROR(VLOOKUP( Entrants!O41, Entrants!$P$144:$P$161,1,FALSE)),(Entrants!O41),"")))</f>
        <v/>
      </c>
      <c r="AL28" s="359" t="str">
        <f>IF(Entrants!P41="Y","",IF(Entrants!P41="","",IF(ISERROR(VLOOKUP( Entrants!P41, Entrants!$P$144:$P$161,1,FALSE)),(Entrants!P41),"")))</f>
        <v/>
      </c>
      <c r="AM28" s="359" t="str">
        <f>IF(LEN(Entrants!Q41)&gt;1,Entrants!Q41,"")</f>
        <v/>
      </c>
      <c r="AN28" s="359" t="str">
        <f>IF(Entrants!S41="Y","",IF(Entrants!S41="","",IF(ISERROR(VLOOKUP( Entrants!S41, Entrants!$P$144:$P$161,1,FALSE)),(Entrants!S41),"")))</f>
        <v/>
      </c>
      <c r="AO28" s="359" t="str">
        <f>IF(LEN(Entrants!U41)&gt;1,Entrants!U41,"")</f>
        <v/>
      </c>
      <c r="AP28" s="439" t="str">
        <f>Entrants!BH41</f>
        <v/>
      </c>
      <c r="AQ28" s="442"/>
      <c r="AR28" s="442"/>
      <c r="AS28" s="442"/>
    </row>
    <row r="29" spans="1:45" s="359" customFormat="1" x14ac:dyDescent="0.25">
      <c r="B29" s="359">
        <f>IF(COUNTBLANK(Entrants!B42)=0,'Team Data'!A$2,0)</f>
        <v>0</v>
      </c>
      <c r="C29" s="359">
        <f>IF(COUNTBLANK(Entrants!B42)=0,Group!$B$8,0)</f>
        <v>0</v>
      </c>
      <c r="E29" s="359" t="str">
        <f>IF(TRIM(PROPER(Entrants!B42))="Zoe","Zoë",TRIM(PROPER(Entrants!B42)))</f>
        <v/>
      </c>
      <c r="F29" s="359" t="str">
        <f>TRIM(PROPER(Entrants!C42))</f>
        <v/>
      </c>
      <c r="G29" s="359">
        <f>IF(AND(Entrants!F42&gt;0,Entrants!F42&lt;1000000000),Entrants!F42,0)</f>
        <v>0</v>
      </c>
      <c r="H29" s="359">
        <f>IF(OR(AND(TYPE(Entrants!G42)=1,Entrants!G42&gt;1000),Entrants!G42="Y"),Entrants!G42,0)</f>
        <v>0</v>
      </c>
      <c r="I29" s="359" t="str">
        <f>UPPER(Entrants!I42)</f>
        <v/>
      </c>
      <c r="J29" s="359" t="str">
        <f>IF(Entrants!E42="F","F","")</f>
        <v/>
      </c>
      <c r="K29" s="359" t="str">
        <f>IF(Entrants!J42="R",TRUE,"")</f>
        <v/>
      </c>
      <c r="L29" s="359" t="str">
        <f>IF(Entrants!K42="X",TRUE,"")</f>
        <v/>
      </c>
      <c r="M29" s="359" t="str">
        <f>IF(Entrants!K42="N",TRUE,"")</f>
        <v/>
      </c>
      <c r="N29" s="361" t="str">
        <f>IF(Entrants!D42="","",Entrants!D42)</f>
        <v/>
      </c>
      <c r="O29" s="359" t="str">
        <f>IF(COUNTBLANK(Entrants!B42)=0,INT(Entrants!AC42),"")</f>
        <v/>
      </c>
      <c r="P29" s="359" t="str">
        <f>IF(COUNTBLANK(Entrants!B42)=1,"",IF(O29&lt;14,"J","S"))</f>
        <v/>
      </c>
      <c r="Q29" s="359" t="str">
        <f>IF(Entrants!B42="","",IF(Entrants!K42="n","PKEF",IF(Entrants!K42="x","K",TRUE)))</f>
        <v/>
      </c>
      <c r="R29" s="359" t="str">
        <f>IF(LEFT(Entrants!L42,1)="Y",TRUE,"")</f>
        <v/>
      </c>
      <c r="S29" s="359" t="str">
        <f>IF(LEFT(Entrants!M42,1)="Y",TRUE,"")</f>
        <v/>
      </c>
      <c r="T29" s="359" t="str">
        <f>IF(LEFT(Entrants!N42,1)="Y",TRUE,"")</f>
        <v/>
      </c>
      <c r="U29" s="359" t="str">
        <f>IF(LEFT(Entrants!O42,1)="Y",TRUE,"")</f>
        <v/>
      </c>
      <c r="V29" s="359" t="str">
        <f>IF(LEFT(Entrants!P42,1)="Y",TRUE,"")</f>
        <v/>
      </c>
      <c r="W29" s="359" t="str">
        <f>IF(Entrants!R42="Open",TRUE,"")</f>
        <v/>
      </c>
      <c r="X29" s="359" t="str">
        <f>IF(Entrants!R42="Sporter",TRUE,"")</f>
        <v/>
      </c>
      <c r="Y29" s="359" t="str">
        <f>IF(COUNTBLANK(Entrants!T42)=1,"",PROPER(Entrants!T42))</f>
        <v/>
      </c>
      <c r="Z29" s="359" t="str">
        <f>IF(LEFT(Entrants!Q42)="Y",TRUE,"")</f>
        <v/>
      </c>
      <c r="AA29" s="359" t="str">
        <f>IF(Entrants!V42="Y",TRUE,"")</f>
        <v/>
      </c>
      <c r="AB29" s="359" t="str">
        <f>IF(LEFT(Entrants!U42)="Y",TRUE,"")</f>
        <v/>
      </c>
      <c r="AC29" s="359" t="str">
        <f>IF(Entrants!W42="A",TRUE,"")</f>
        <v/>
      </c>
      <c r="AD29" s="359" t="str">
        <f>IF(Entrants!W42="B",TRUE,"")</f>
        <v/>
      </c>
      <c r="AE29" s="359" t="str">
        <f>IF(Entrants!X42="A",TRUE,"")</f>
        <v/>
      </c>
      <c r="AF29" s="359" t="str">
        <f>IF(Entrants!X42="B",TRUE,"")</f>
        <v/>
      </c>
      <c r="AG29" s="359" t="str">
        <f>IF(Entrants!X42="X",TRUE,"")</f>
        <v/>
      </c>
      <c r="AH29" s="359" t="str">
        <f>IF(Entrants!L42="Y","",IF(Entrants!L42="","",IF(ISERROR(VLOOKUP( Entrants!L42, Entrants!$P$144:$P$161,1,FALSE)),(Entrants!L42),"")))</f>
        <v/>
      </c>
      <c r="AI29" s="359" t="str">
        <f>IF(Entrants!M42="Y","",IF(Entrants!M42="","",IF(ISERROR(VLOOKUP( Entrants!M42, Entrants!$P$144:$P$161,1,FALSE)),(Entrants!M42),"")))</f>
        <v/>
      </c>
      <c r="AJ29" s="359" t="str">
        <f>IF(Entrants!N42="Y","",IF(Entrants!N42="","",IF(ISERROR(VLOOKUP( Entrants!N42, Entrants!$P$144:$P$161,1,FALSE)),(Entrants!N42),"")))</f>
        <v/>
      </c>
      <c r="AK29" s="359" t="str">
        <f>IF(Entrants!O42="Y","",IF(Entrants!O42="","",IF(ISERROR(VLOOKUP( Entrants!O42, Entrants!$P$144:$P$161,1,FALSE)),(Entrants!O42),"")))</f>
        <v/>
      </c>
      <c r="AL29" s="359" t="str">
        <f>IF(Entrants!P42="Y","",IF(Entrants!P42="","",IF(ISERROR(VLOOKUP( Entrants!P42, Entrants!$P$144:$P$161,1,FALSE)),(Entrants!P42),"")))</f>
        <v/>
      </c>
      <c r="AM29" s="359" t="str">
        <f>IF(LEN(Entrants!Q42)&gt;1,Entrants!Q42,"")</f>
        <v/>
      </c>
      <c r="AN29" s="359" t="str">
        <f>IF(Entrants!S42="Y","",IF(Entrants!S42="","",IF(ISERROR(VLOOKUP( Entrants!S42, Entrants!$P$144:$P$161,1,FALSE)),(Entrants!S42),"")))</f>
        <v/>
      </c>
      <c r="AO29" s="359" t="str">
        <f>IF(LEN(Entrants!U42)&gt;1,Entrants!U42,"")</f>
        <v/>
      </c>
      <c r="AP29" s="439" t="str">
        <f>Entrants!BH42</f>
        <v/>
      </c>
      <c r="AQ29" s="442"/>
      <c r="AR29" s="442"/>
      <c r="AS29" s="442"/>
    </row>
    <row r="30" spans="1:45" s="359" customFormat="1" x14ac:dyDescent="0.25">
      <c r="B30" s="359">
        <f>IF(COUNTBLANK(Entrants!B43)=0,'Team Data'!A$2,0)</f>
        <v>0</v>
      </c>
      <c r="C30" s="359">
        <f>IF(COUNTBLANK(Entrants!B43)=0,Group!$B$8,0)</f>
        <v>0</v>
      </c>
      <c r="E30" s="359" t="str">
        <f>IF(TRIM(PROPER(Entrants!B43))="Zoe","Zoë",TRIM(PROPER(Entrants!B43)))</f>
        <v/>
      </c>
      <c r="F30" s="359" t="str">
        <f>TRIM(PROPER(Entrants!C43))</f>
        <v/>
      </c>
      <c r="G30" s="359">
        <f>IF(AND(Entrants!F43&gt;0,Entrants!F43&lt;1000000000),Entrants!F43,0)</f>
        <v>0</v>
      </c>
      <c r="H30" s="359">
        <f>IF(OR(AND(TYPE(Entrants!G43)=1,Entrants!G43&gt;1000),Entrants!G43="Y"),Entrants!G43,0)</f>
        <v>0</v>
      </c>
      <c r="I30" s="359" t="str">
        <f>UPPER(Entrants!I43)</f>
        <v/>
      </c>
      <c r="J30" s="359" t="str">
        <f>IF(Entrants!E43="F","F","")</f>
        <v/>
      </c>
      <c r="K30" s="359" t="str">
        <f>IF(Entrants!J43="R",TRUE,"")</f>
        <v/>
      </c>
      <c r="L30" s="359" t="str">
        <f>IF(Entrants!K43="X",TRUE,"")</f>
        <v/>
      </c>
      <c r="M30" s="359" t="str">
        <f>IF(Entrants!K43="N",TRUE,"")</f>
        <v/>
      </c>
      <c r="N30" s="360" t="str">
        <f>IF(Entrants!D43="","",Entrants!D43)</f>
        <v/>
      </c>
      <c r="O30" s="359" t="str">
        <f>IF(COUNTBLANK(Entrants!B43)=0,INT(Entrants!AC43),"")</f>
        <v/>
      </c>
      <c r="P30" s="359" t="str">
        <f>IF(COUNTBLANK(Entrants!B43)=1,"",IF(O30&lt;14,"J","S"))</f>
        <v/>
      </c>
      <c r="Q30" s="359" t="str">
        <f>IF(Entrants!B43="","",IF(Entrants!K43="n","PKEF",IF(Entrants!K43="x","K",TRUE)))</f>
        <v/>
      </c>
      <c r="R30" s="359" t="str">
        <f>IF(LEFT(Entrants!L43,1)="Y",TRUE,"")</f>
        <v/>
      </c>
      <c r="S30" s="359" t="str">
        <f>IF(LEFT(Entrants!M43,1)="Y",TRUE,"")</f>
        <v/>
      </c>
      <c r="T30" s="359" t="str">
        <f>IF(LEFT(Entrants!N43,1)="Y",TRUE,"")</f>
        <v/>
      </c>
      <c r="U30" s="359" t="str">
        <f>IF(LEFT(Entrants!O43,1)="Y",TRUE,"")</f>
        <v/>
      </c>
      <c r="V30" s="359" t="str">
        <f>IF(LEFT(Entrants!P43,1)="Y",TRUE,"")</f>
        <v/>
      </c>
      <c r="W30" s="359" t="str">
        <f>IF(Entrants!R43="Open",TRUE,"")</f>
        <v/>
      </c>
      <c r="X30" s="359" t="str">
        <f>IF(Entrants!R43="Sporter",TRUE,"")</f>
        <v/>
      </c>
      <c r="Y30" s="359" t="str">
        <f>IF(COUNTBLANK(Entrants!T43)=1,"",PROPER(Entrants!T43))</f>
        <v/>
      </c>
      <c r="Z30" s="359" t="str">
        <f>IF(LEFT(Entrants!Q43)="Y",TRUE,"")</f>
        <v/>
      </c>
      <c r="AA30" s="359" t="str">
        <f>IF(Entrants!V43="Y",TRUE,"")</f>
        <v/>
      </c>
      <c r="AB30" s="359" t="str">
        <f>IF(LEFT(Entrants!U43)="Y",TRUE,"")</f>
        <v/>
      </c>
      <c r="AC30" s="359" t="str">
        <f>IF(Entrants!W43="A",TRUE,"")</f>
        <v/>
      </c>
      <c r="AD30" s="359" t="str">
        <f>IF(Entrants!W43="B",TRUE,"")</f>
        <v/>
      </c>
      <c r="AE30" s="359" t="str">
        <f>IF(Entrants!X43="A",TRUE,"")</f>
        <v/>
      </c>
      <c r="AF30" s="359" t="str">
        <f>IF(Entrants!X43="B",TRUE,"")</f>
        <v/>
      </c>
      <c r="AG30" s="359" t="str">
        <f>IF(Entrants!X43="X",TRUE,"")</f>
        <v/>
      </c>
      <c r="AH30" s="359" t="str">
        <f>IF(Entrants!L43="Y","",IF(Entrants!L43="","",IF(ISERROR(VLOOKUP( Entrants!L43, Entrants!$P$144:$P$161,1,FALSE)),(Entrants!L43),"")))</f>
        <v/>
      </c>
      <c r="AI30" s="359" t="str">
        <f>IF(Entrants!M43="Y","",IF(Entrants!M43="","",IF(ISERROR(VLOOKUP( Entrants!M43, Entrants!$P$144:$P$161,1,FALSE)),(Entrants!M43),"")))</f>
        <v/>
      </c>
      <c r="AJ30" s="359" t="str">
        <f>IF(Entrants!N43="Y","",IF(Entrants!N43="","",IF(ISERROR(VLOOKUP( Entrants!N43, Entrants!$P$144:$P$161,1,FALSE)),(Entrants!N43),"")))</f>
        <v/>
      </c>
      <c r="AK30" s="359" t="str">
        <f>IF(Entrants!O43="Y","",IF(Entrants!O43="","",IF(ISERROR(VLOOKUP( Entrants!O43, Entrants!$P$144:$P$161,1,FALSE)),(Entrants!O43),"")))</f>
        <v/>
      </c>
      <c r="AL30" s="359" t="str">
        <f>IF(Entrants!P43="Y","",IF(Entrants!P43="","",IF(ISERROR(VLOOKUP( Entrants!P43, Entrants!$P$144:$P$161,1,FALSE)),(Entrants!P43),"")))</f>
        <v/>
      </c>
      <c r="AM30" s="359" t="str">
        <f>IF(LEN(Entrants!Q43)&gt;1,Entrants!Q43,"")</f>
        <v/>
      </c>
      <c r="AN30" s="359" t="str">
        <f>IF(Entrants!S43="Y","",IF(Entrants!S43="","",IF(ISERROR(VLOOKUP( Entrants!S43, Entrants!$P$144:$P$161,1,FALSE)),(Entrants!S43),"")))</f>
        <v/>
      </c>
      <c r="AO30" s="359" t="str">
        <f>IF(LEN(Entrants!U43)&gt;1,Entrants!U43,"")</f>
        <v/>
      </c>
      <c r="AP30" s="439" t="str">
        <f>Entrants!BH43</f>
        <v/>
      </c>
      <c r="AQ30" s="442"/>
      <c r="AR30" s="442"/>
      <c r="AS30" s="442"/>
    </row>
    <row r="32" spans="1:45" x14ac:dyDescent="0.2">
      <c r="A32" s="271" t="s">
        <v>836</v>
      </c>
      <c r="W32" s="271" t="s">
        <v>841</v>
      </c>
    </row>
    <row r="33" spans="1:45" ht="87.75" customHeight="1" x14ac:dyDescent="0.2">
      <c r="A33" s="132"/>
      <c r="B33" s="132" t="s">
        <v>376</v>
      </c>
      <c r="C33" s="132" t="s">
        <v>40</v>
      </c>
      <c r="D33" s="132" t="s">
        <v>377</v>
      </c>
      <c r="E33" s="132" t="s">
        <v>378</v>
      </c>
      <c r="F33" s="132" t="s">
        <v>23</v>
      </c>
      <c r="G33" s="132" t="s">
        <v>579</v>
      </c>
      <c r="H33" s="132" t="s">
        <v>614</v>
      </c>
      <c r="I33" s="132" t="s">
        <v>379</v>
      </c>
      <c r="J33" s="132" t="s">
        <v>380</v>
      </c>
      <c r="K33" s="132" t="s">
        <v>381</v>
      </c>
      <c r="L33" s="132" t="s">
        <v>382</v>
      </c>
      <c r="M33" s="132" t="s">
        <v>383</v>
      </c>
      <c r="N33" s="132" t="s">
        <v>384</v>
      </c>
      <c r="O33" s="132" t="s">
        <v>584</v>
      </c>
      <c r="P33" s="132" t="s">
        <v>385</v>
      </c>
      <c r="Q33" s="132" t="s">
        <v>386</v>
      </c>
      <c r="R33" s="132" t="s">
        <v>387</v>
      </c>
      <c r="S33" s="132" t="s">
        <v>388</v>
      </c>
      <c r="T33" s="132" t="s">
        <v>389</v>
      </c>
      <c r="U33" s="132" t="s">
        <v>390</v>
      </c>
      <c r="V33" s="132" t="s">
        <v>391</v>
      </c>
      <c r="W33" s="132" t="s">
        <v>833</v>
      </c>
      <c r="X33" s="132" t="s">
        <v>832</v>
      </c>
      <c r="Y33" s="132" t="s">
        <v>429</v>
      </c>
      <c r="Z33" s="132" t="s">
        <v>16</v>
      </c>
      <c r="AA33" s="132" t="s">
        <v>392</v>
      </c>
      <c r="AB33" s="132" t="s">
        <v>808</v>
      </c>
      <c r="AC33" s="132" t="s">
        <v>393</v>
      </c>
      <c r="AD33" s="132" t="s">
        <v>394</v>
      </c>
      <c r="AE33" s="132" t="s">
        <v>395</v>
      </c>
      <c r="AF33" s="132" t="s">
        <v>396</v>
      </c>
      <c r="AG33" s="132" t="s">
        <v>397</v>
      </c>
      <c r="AH33" s="132" t="s">
        <v>424</v>
      </c>
      <c r="AI33" s="132" t="s">
        <v>425</v>
      </c>
      <c r="AJ33" s="132" t="s">
        <v>426</v>
      </c>
      <c r="AK33" s="132" t="s">
        <v>835</v>
      </c>
      <c r="AL33" s="132" t="s">
        <v>427</v>
      </c>
      <c r="AM33" s="132" t="s">
        <v>834</v>
      </c>
      <c r="AN33" s="132" t="s">
        <v>428</v>
      </c>
      <c r="AO33" s="132" t="s">
        <v>831</v>
      </c>
      <c r="AP33" s="437" t="s">
        <v>453</v>
      </c>
    </row>
    <row r="34" spans="1:45" ht="13.5" x14ac:dyDescent="0.25">
      <c r="A34" s="443" t="str">
        <f>IF(COUNTBLANK(Supplementary!$C17:$D17)&lt;2,Supplementary!B17,"")</f>
        <v/>
      </c>
      <c r="B34" s="444" t="str">
        <f>IF(COUNTBLANK(Supplementary!$C17:$D17)&lt;2,'Team Data'!A$2,"")</f>
        <v/>
      </c>
      <c r="C34" s="444" t="str">
        <f>IF(COUNTBLANK(Supplementary!$C17:$D17)&lt;2,'Team Data'!C2,"")</f>
        <v/>
      </c>
      <c r="D34" s="444"/>
      <c r="E34" s="444" t="str">
        <f>IF(COUNTBLANK(Supplementary!$C17:$D17)&lt;2,TRIM(PROPER(Supplementary!C17)),"")</f>
        <v/>
      </c>
      <c r="F34" s="444" t="str">
        <f>IF(COUNTBLANK(Supplementary!$C17:$D17)&lt;2,TRIM(PROPER(Supplementary!D17)),"")</f>
        <v/>
      </c>
      <c r="G34" s="443" t="str">
        <f>IF(COUNTBLANK(Supplementary!$C17:$D17)&lt;2,Supplementary!G17,"")</f>
        <v/>
      </c>
      <c r="H34" s="443" t="str">
        <f>IF(COUNTBLANK(Supplementary!$C17:$D17)&lt;2,Supplementary!H17,"")</f>
        <v/>
      </c>
      <c r="I34" s="443" t="str">
        <f>IF(COUNTBLANK(Supplementary!$C17:$D17)&lt;2,Supplementary!J17,"")</f>
        <v/>
      </c>
      <c r="J34" s="443" t="str">
        <f>IF(COUNTBLANK(Supplementary!$C17:$D17)&lt;2,Supplementary!F17,"")</f>
        <v/>
      </c>
      <c r="K34" s="443" t="str">
        <f>""</f>
        <v/>
      </c>
      <c r="L34" s="443" t="str">
        <f>IF(COUNTBLANK(Supplementary!$C17:$D17)&lt;2,IF(COUNTBLANK(Supplementary!$C17:$D17)&lt;2,IF(Supplementary!L17="X","X","")),"")</f>
        <v/>
      </c>
      <c r="M34" s="443" t="str">
        <f>IF(COUNTBLANK(Supplementary!$C17:$D17)&lt;2,IF(COUNTBLANK(Supplementary!$C17:$D17)&lt;2,IF(Supplementary!L17="N","N","")),"")</f>
        <v/>
      </c>
      <c r="N34" s="445" t="str">
        <f>IF(COUNTBLANK(Supplementary!$C17:$D17)&lt;2,IF(Supplementary!E17=0,0,Supplementary!E17),"")</f>
        <v/>
      </c>
      <c r="O34" s="444" t="str">
        <f>IF(COUNTBLANK(Supplementary!C17)=0,INT(Supplementary!AE17),"")</f>
        <v/>
      </c>
      <c r="P34" s="443" t="str">
        <f>IF(COUNTBLANK(Supplementary!C17)=1,"",IF(O34&lt;14,"J","S"))</f>
        <v/>
      </c>
      <c r="Q34" s="443" t="str">
        <f>IF(Supplementary!C17="","",IF(L34="X","K",IF(M34="N","PKEF","TRUE")))</f>
        <v/>
      </c>
      <c r="R34" s="443" t="str">
        <f>IF(LEFT(Supplementary!M17,1)="Y","TRUE","")</f>
        <v/>
      </c>
      <c r="S34" s="443" t="str">
        <f>IF(LEFT(Supplementary!N17,1)="Y","TRUE","")</f>
        <v/>
      </c>
      <c r="T34" s="443" t="str">
        <f>IF(LEFT(Supplementary!O17,1)="Y","TRUE","")</f>
        <v/>
      </c>
      <c r="U34" s="443" t="str">
        <f>IF(LEFT(Supplementary!P17,1)="Y","TRUE","")</f>
        <v/>
      </c>
      <c r="V34" s="443" t="str">
        <f>IF(LEFT(Supplementary!Q17,1)="Y","TRUE","")</f>
        <v/>
      </c>
      <c r="W34" s="443" t="str">
        <f>IF(Supplementary!S17="Open","TRUE","")</f>
        <v/>
      </c>
      <c r="X34" s="443" t="str">
        <f>IF(Supplementary!S17="Sporter","TRUE","")</f>
        <v/>
      </c>
      <c r="Y34" s="443" t="str">
        <f>IF(COUNTBLANK(W34:X34)=1,TRIM(PROPER(Supplementary!U17)),"")</f>
        <v/>
      </c>
      <c r="Z34" s="443" t="str">
        <f>IF(LEFT(Supplementary!R17,1)="Y","TRUE","")</f>
        <v/>
      </c>
      <c r="AA34" s="443" t="str">
        <f>IF(LEFT(Supplementary!W17,1)="Y","TRUE","")</f>
        <v/>
      </c>
      <c r="AB34" s="443" t="str">
        <f>IF(LEFT(Supplementary!V17,1)="Y","TRUE","")</f>
        <v/>
      </c>
      <c r="AC34" s="443" t="str">
        <f>IF(Supplementary!X17="A","TRUE","")</f>
        <v/>
      </c>
      <c r="AD34" s="443" t="str">
        <f>IF(Supplementary!X17="B","TRUE","")</f>
        <v/>
      </c>
      <c r="AE34" s="443" t="str">
        <f>IF(Supplementary!Y17="A","TRUE","")</f>
        <v/>
      </c>
      <c r="AF34" s="443" t="str">
        <f>IF(Supplementary!Y17="B","TRUE","")</f>
        <v/>
      </c>
      <c r="AG34" s="443" t="str">
        <f>IF(Supplementary!Y17="X","TRUE","")</f>
        <v/>
      </c>
      <c r="AH34" s="443" t="str">
        <f>IF(LEN(Supplementary!M17)&gt;1,Supplementary!M17,"")</f>
        <v/>
      </c>
      <c r="AI34" s="443" t="str">
        <f>IF(LEN(Supplementary!N17)&gt;1,Supplementary!N17,"")</f>
        <v/>
      </c>
      <c r="AJ34" s="443" t="str">
        <f>IF(LEN(Supplementary!O17)&gt;1,Supplementary!O17,"")</f>
        <v/>
      </c>
      <c r="AK34" s="443" t="str">
        <f>IF(LEN(Supplementary!P17)&gt;1,Supplementary!P17,"")</f>
        <v/>
      </c>
      <c r="AL34" s="443" t="str">
        <f>IF(LEN(Supplementary!Q17)&gt;1,Supplementary!Q17,"")</f>
        <v/>
      </c>
      <c r="AM34" s="443" t="str">
        <f>IF(LEN(Supplementary!R17)&gt;1,Supplementary!R17,"")</f>
        <v/>
      </c>
      <c r="AN34" s="443" t="str">
        <f>IF(LEN(Supplementary!T17)&gt;1,Supplementary!T17,"")</f>
        <v/>
      </c>
      <c r="AO34" s="443" t="str">
        <f>IF(LEN(Supplementary!V17)&gt;1,Supplementary!V17,"")</f>
        <v/>
      </c>
      <c r="AP34" s="443" t="str">
        <f>IF(COUNTBLANK(Supplementary!$C17:$D17)&lt;2,Supplementary!AP17,"")</f>
        <v/>
      </c>
    </row>
    <row r="35" spans="1:45" ht="13.5" x14ac:dyDescent="0.25">
      <c r="A35" s="443" t="str">
        <f>IF(COUNTBLANK(Supplementary!$C18:$D18)&lt;2,Supplementary!B18,"")</f>
        <v/>
      </c>
      <c r="B35" s="444" t="str">
        <f>IF(COUNTBLANK(Supplementary!$C18:$D18)&lt;2,'Team Data'!A$2,"")</f>
        <v/>
      </c>
      <c r="C35" s="444" t="str">
        <f>IF(COUNTBLANK(Supplementary!$C18:$D18)&lt;2,'Team Data'!C3,"")</f>
        <v/>
      </c>
      <c r="D35" s="444"/>
      <c r="E35" s="444" t="str">
        <f>IF(COUNTBLANK(Supplementary!$C18:$D18)&lt;2,TRIM(PROPER(Supplementary!C18)),"")</f>
        <v/>
      </c>
      <c r="F35" s="444" t="str">
        <f>IF(COUNTBLANK(Supplementary!$C18:$D18)&lt;2,TRIM(PROPER(Supplementary!D18)),"")</f>
        <v/>
      </c>
      <c r="G35" s="443" t="str">
        <f>IF(COUNTBLANK(Supplementary!$C18:$D18)&lt;2,Supplementary!G18,"")</f>
        <v/>
      </c>
      <c r="H35" s="443" t="str">
        <f>IF(COUNTBLANK(Supplementary!$C18:$D18)&lt;2,Supplementary!H18,"")</f>
        <v/>
      </c>
      <c r="I35" s="443" t="str">
        <f>IF(COUNTBLANK(Supplementary!$C18:$D18)&lt;2,Supplementary!J18,"")</f>
        <v/>
      </c>
      <c r="J35" s="443" t="str">
        <f>IF(COUNTBLANK(Supplementary!$C18:$D18)&lt;2,Supplementary!F18,"")</f>
        <v/>
      </c>
      <c r="K35" s="443" t="str">
        <f>""</f>
        <v/>
      </c>
      <c r="L35" s="443" t="str">
        <f>IF(COUNTBLANK(Supplementary!$C18:$D18)&lt;2,IF(COUNTBLANK(Supplementary!$C18:$D18)&lt;2,IF(Supplementary!L18="X","X","")),"")</f>
        <v/>
      </c>
      <c r="M35" s="443" t="str">
        <f>IF(COUNTBLANK(Supplementary!$C18:$D18)&lt;2,IF(COUNTBLANK(Supplementary!$C18:$D18)&lt;2,IF(Supplementary!L18="N","N","")),"")</f>
        <v/>
      </c>
      <c r="N35" s="445" t="str">
        <f>IF(COUNTBLANK(Supplementary!$C18:$D18)&lt;2,IF(Supplementary!E18=0,0,Supplementary!E18),"")</f>
        <v/>
      </c>
      <c r="O35" s="444" t="str">
        <f>IF(COUNTBLANK(Supplementary!C18)=0,INT(Supplementary!AE18),"")</f>
        <v/>
      </c>
      <c r="P35" s="443" t="str">
        <f>IF(COUNTBLANK(Supplementary!C18)=1,"",IF(O35&lt;14,"J","S"))</f>
        <v/>
      </c>
      <c r="Q35" s="443" t="str">
        <f>IF(Supplementary!C18="","",IF(L35="X","K",IF(M35="N","PKEF","TRUE")))</f>
        <v/>
      </c>
      <c r="R35" s="443" t="str">
        <f>IF(LEFT(Supplementary!M18,1)="Y","TRUE","")</f>
        <v/>
      </c>
      <c r="S35" s="443" t="str">
        <f>IF(LEFT(Supplementary!N18,1)="Y","TRUE","")</f>
        <v/>
      </c>
      <c r="T35" s="443" t="str">
        <f>IF(LEFT(Supplementary!O18,1)="Y","TRUE","")</f>
        <v/>
      </c>
      <c r="U35" s="443" t="str">
        <f>IF(LEFT(Supplementary!P18,1)="Y","TRUE","")</f>
        <v/>
      </c>
      <c r="V35" s="443" t="str">
        <f>IF(LEFT(Supplementary!Q18,1)="Y","TRUE","")</f>
        <v/>
      </c>
      <c r="W35" s="443" t="str">
        <f>IF(Supplementary!S18="Open","TRUE","")</f>
        <v/>
      </c>
      <c r="X35" s="443" t="str">
        <f>IF(Supplementary!S18="Sporter","TRUE","")</f>
        <v/>
      </c>
      <c r="Y35" s="443" t="str">
        <f>IF(COUNTBLANK(W35:X35)=1,TRIM(PROPER(Supplementary!U18)),"")</f>
        <v/>
      </c>
      <c r="Z35" s="443" t="str">
        <f>IF(LEFT(Supplementary!R18,1)="Y","TRUE","")</f>
        <v/>
      </c>
      <c r="AA35" s="443" t="str">
        <f>IF(LEFT(Supplementary!W18,1)="Y","TRUE","")</f>
        <v/>
      </c>
      <c r="AB35" s="443" t="str">
        <f>IF(LEFT(Supplementary!V18,1)="Y","TRUE","")</f>
        <v/>
      </c>
      <c r="AC35" s="443" t="str">
        <f>IF(Supplementary!X18="A","TRUE","")</f>
        <v/>
      </c>
      <c r="AD35" s="443" t="str">
        <f>IF(Supplementary!X18="B","TRUE","")</f>
        <v/>
      </c>
      <c r="AE35" s="443" t="str">
        <f>IF(Supplementary!Y18="A","TRUE","")</f>
        <v/>
      </c>
      <c r="AF35" s="443" t="str">
        <f>IF(Supplementary!Y18="B","TRUE","")</f>
        <v/>
      </c>
      <c r="AG35" s="443" t="str">
        <f>IF(Supplementary!Y18="X","TRUE","")</f>
        <v/>
      </c>
      <c r="AH35" s="443" t="str">
        <f>IF(LEN(Supplementary!M18)&gt;1,Supplementary!M18,"")</f>
        <v/>
      </c>
      <c r="AI35" s="443" t="str">
        <f>IF(LEN(Supplementary!N18)&gt;1,Supplementary!N18,"")</f>
        <v/>
      </c>
      <c r="AJ35" s="443" t="str">
        <f>IF(LEN(Supplementary!O18)&gt;1,Supplementary!O18,"")</f>
        <v/>
      </c>
      <c r="AK35" s="443" t="str">
        <f>IF(LEN(Supplementary!P18)&gt;1,Supplementary!P18,"")</f>
        <v/>
      </c>
      <c r="AL35" s="443" t="str">
        <f>IF(LEN(Supplementary!Q18)&gt;1,Supplementary!Q18,"")</f>
        <v/>
      </c>
      <c r="AM35" s="443" t="str">
        <f>IF(LEN(Supplementary!R18)&gt;1,Supplementary!R18,"")</f>
        <v/>
      </c>
      <c r="AN35" s="443" t="str">
        <f>IF(LEN(Supplementary!T18)&gt;1,Supplementary!T18,"")</f>
        <v/>
      </c>
      <c r="AO35" s="443" t="str">
        <f>IF(LEN(Supplementary!V18)&gt;1,Supplementary!V18,"")</f>
        <v/>
      </c>
      <c r="AP35" s="443" t="str">
        <f>IF(COUNTBLANK(Supplementary!$C18:$D18)&lt;2,Supplementary!AP18,"")</f>
        <v/>
      </c>
    </row>
    <row r="36" spans="1:45" ht="13.5" x14ac:dyDescent="0.25">
      <c r="A36" s="443" t="str">
        <f>IF(COUNTBLANK(Supplementary!$C19:$D19)&lt;2,Supplementary!B19,"")</f>
        <v/>
      </c>
      <c r="B36" s="444" t="str">
        <f>IF(COUNTBLANK(Supplementary!$C19:$D19)&lt;2,'Team Data'!A$2,"")</f>
        <v/>
      </c>
      <c r="C36" s="444" t="str">
        <f>IF(COUNTBLANK(Supplementary!$C19:$D19)&lt;2,'Team Data'!C4,"")</f>
        <v/>
      </c>
      <c r="D36" s="444"/>
      <c r="E36" s="444" t="str">
        <f>IF(COUNTBLANK(Supplementary!$C19:$D19)&lt;2,TRIM(PROPER(Supplementary!C19)),"")</f>
        <v/>
      </c>
      <c r="F36" s="444" t="str">
        <f>IF(COUNTBLANK(Supplementary!$C19:$D19)&lt;2,TRIM(PROPER(Supplementary!D19)),"")</f>
        <v/>
      </c>
      <c r="G36" s="443" t="str">
        <f>IF(COUNTBLANK(Supplementary!$C19:$D19)&lt;2,Supplementary!G19,"")</f>
        <v/>
      </c>
      <c r="H36" s="443" t="str">
        <f>IF(COUNTBLANK(Supplementary!$C19:$D19)&lt;2,Supplementary!H19,"")</f>
        <v/>
      </c>
      <c r="I36" s="443" t="str">
        <f>IF(COUNTBLANK(Supplementary!$C19:$D19)&lt;2,Supplementary!J19,"")</f>
        <v/>
      </c>
      <c r="J36" s="443" t="str">
        <f>IF(COUNTBLANK(Supplementary!$C19:$D19)&lt;2,Supplementary!F19,"")</f>
        <v/>
      </c>
      <c r="K36" s="443" t="str">
        <f>""</f>
        <v/>
      </c>
      <c r="L36" s="443" t="str">
        <f>IF(COUNTBLANK(Supplementary!$C19:$D19)&lt;2,IF(COUNTBLANK(Supplementary!$C19:$D19)&lt;2,IF(Supplementary!L19="X","X","")),"")</f>
        <v/>
      </c>
      <c r="M36" s="443" t="str">
        <f>IF(COUNTBLANK(Supplementary!$C19:$D19)&lt;2,IF(COUNTBLANK(Supplementary!$C19:$D19)&lt;2,IF(Supplementary!L19="N","N","")),"")</f>
        <v/>
      </c>
      <c r="N36" s="445" t="str">
        <f>IF(COUNTBLANK(Supplementary!$C19:$D19)&lt;2,IF(Supplementary!E19=0,0,Supplementary!E19),"")</f>
        <v/>
      </c>
      <c r="O36" s="444" t="str">
        <f>IF(COUNTBLANK(Supplementary!C19)=0,INT(Supplementary!AE19),"")</f>
        <v/>
      </c>
      <c r="P36" s="443" t="str">
        <f>IF(COUNTBLANK(Supplementary!C19)=1,"",IF(O36&lt;14,"J","S"))</f>
        <v/>
      </c>
      <c r="Q36" s="443" t="str">
        <f>IF(Supplementary!C19="","",IF(L36="X","K",IF(M36="N","PKEF","TRUE")))</f>
        <v/>
      </c>
      <c r="R36" s="443" t="str">
        <f>IF(LEFT(Supplementary!M19,1)="Y","TRUE","")</f>
        <v/>
      </c>
      <c r="S36" s="443" t="str">
        <f>IF(LEFT(Supplementary!N19,1)="Y","TRUE","")</f>
        <v/>
      </c>
      <c r="T36" s="443" t="str">
        <f>IF(LEFT(Supplementary!O19,1)="Y","TRUE","")</f>
        <v/>
      </c>
      <c r="U36" s="443" t="str">
        <f>IF(LEFT(Supplementary!P19,1)="Y","TRUE","")</f>
        <v/>
      </c>
      <c r="V36" s="443" t="str">
        <f>IF(LEFT(Supplementary!Q19,1)="Y","TRUE","")</f>
        <v/>
      </c>
      <c r="W36" s="443" t="str">
        <f>IF(Supplementary!S19="Open","TRUE","")</f>
        <v/>
      </c>
      <c r="X36" s="443" t="str">
        <f>IF(Supplementary!S19="Sporter","TRUE","")</f>
        <v/>
      </c>
      <c r="Y36" s="443" t="str">
        <f>IF(COUNTBLANK(W36:X36)=1,TRIM(PROPER(Supplementary!U19)),"")</f>
        <v/>
      </c>
      <c r="Z36" s="443" t="str">
        <f>IF(LEFT(Supplementary!R19,1)="Y","TRUE","")</f>
        <v/>
      </c>
      <c r="AA36" s="443" t="str">
        <f>IF(LEFT(Supplementary!W19,1)="Y","TRUE","")</f>
        <v/>
      </c>
      <c r="AB36" s="443" t="str">
        <f>IF(LEFT(Supplementary!V19,1)="Y","TRUE","")</f>
        <v/>
      </c>
      <c r="AC36" s="443" t="str">
        <f>IF(Supplementary!X19="A","TRUE","")</f>
        <v/>
      </c>
      <c r="AD36" s="443" t="str">
        <f>IF(Supplementary!X19="B","TRUE","")</f>
        <v/>
      </c>
      <c r="AE36" s="443" t="str">
        <f>IF(Supplementary!Y19="A","TRUE","")</f>
        <v/>
      </c>
      <c r="AF36" s="443" t="str">
        <f>IF(Supplementary!Y19="B","TRUE","")</f>
        <v/>
      </c>
      <c r="AG36" s="443" t="str">
        <f>IF(Supplementary!Y19="X","TRUE","")</f>
        <v/>
      </c>
      <c r="AH36" s="443" t="str">
        <f>IF(LEN(Supplementary!M19)&gt;1,Supplementary!M19,"")</f>
        <v/>
      </c>
      <c r="AI36" s="443" t="str">
        <f>IF(LEN(Supplementary!N19)&gt;1,Supplementary!N19,"")</f>
        <v/>
      </c>
      <c r="AJ36" s="443" t="str">
        <f>IF(LEN(Supplementary!O19)&gt;1,Supplementary!O19,"")</f>
        <v/>
      </c>
      <c r="AK36" s="443" t="str">
        <f>IF(LEN(Supplementary!P19)&gt;1,Supplementary!P19,"")</f>
        <v/>
      </c>
      <c r="AL36" s="443" t="str">
        <f>IF(LEN(Supplementary!Q19)&gt;1,Supplementary!Q19,"")</f>
        <v/>
      </c>
      <c r="AM36" s="443" t="str">
        <f>IF(LEN(Supplementary!R19)&gt;1,Supplementary!R19,"")</f>
        <v/>
      </c>
      <c r="AN36" s="443" t="str">
        <f>IF(LEN(Supplementary!T19)&gt;1,Supplementary!T19,"")</f>
        <v/>
      </c>
      <c r="AO36" s="443" t="str">
        <f>IF(LEN(Supplementary!V19)&gt;1,Supplementary!V19,"")</f>
        <v/>
      </c>
      <c r="AP36" s="443" t="str">
        <f>IF(COUNTBLANK(Supplementary!$C19:$D19)&lt;2,Supplementary!AP19,"")</f>
        <v/>
      </c>
    </row>
    <row r="37" spans="1:45" s="271" customFormat="1" ht="13.5" x14ac:dyDescent="0.25">
      <c r="A37" s="443" t="str">
        <f>IF(COUNTBLANK(Supplementary!$C20:$D20)&lt;2,Supplementary!B20,"")</f>
        <v/>
      </c>
      <c r="B37" s="444" t="str">
        <f>IF(COUNTBLANK(Supplementary!$C20:$D20)&lt;2,'Team Data'!A$2,"")</f>
        <v/>
      </c>
      <c r="C37" s="444" t="str">
        <f>IF(COUNTBLANK(Supplementary!$C20:$D20)&lt;2,'Team Data'!C5,"")</f>
        <v/>
      </c>
      <c r="D37" s="444"/>
      <c r="E37" s="444" t="str">
        <f>IF(COUNTBLANK(Supplementary!$C20:$D20)&lt;2,TRIM(PROPER(Supplementary!C20)),"")</f>
        <v/>
      </c>
      <c r="F37" s="444" t="str">
        <f>IF(COUNTBLANK(Supplementary!$C20:$D20)&lt;2,TRIM(PROPER(Supplementary!D20)),"")</f>
        <v/>
      </c>
      <c r="G37" s="443" t="str">
        <f>IF(COUNTBLANK(Supplementary!$C20:$D20)&lt;2,Supplementary!G20,"")</f>
        <v/>
      </c>
      <c r="H37" s="443" t="str">
        <f>IF(COUNTBLANK(Supplementary!$C20:$D20)&lt;2,Supplementary!H20,"")</f>
        <v/>
      </c>
      <c r="I37" s="443" t="str">
        <f>IF(COUNTBLANK(Supplementary!$C20:$D20)&lt;2,Supplementary!J20,"")</f>
        <v/>
      </c>
      <c r="J37" s="443" t="str">
        <f>IF(COUNTBLANK(Supplementary!$C20:$D20)&lt;2,Supplementary!F20,"")</f>
        <v/>
      </c>
      <c r="K37" s="443" t="str">
        <f>""</f>
        <v/>
      </c>
      <c r="L37" s="443" t="str">
        <f>IF(COUNTBLANK(Supplementary!$C20:$D20)&lt;2,IF(COUNTBLANK(Supplementary!$C20:$D20)&lt;2,IF(Supplementary!L20="X","X","")),"")</f>
        <v/>
      </c>
      <c r="M37" s="443" t="str">
        <f>IF(COUNTBLANK(Supplementary!$C20:$D20)&lt;2,IF(COUNTBLANK(Supplementary!$C20:$D20)&lt;2,IF(Supplementary!L20="N","N","")),"")</f>
        <v/>
      </c>
      <c r="N37" s="445" t="str">
        <f>IF(COUNTBLANK(Supplementary!$C20:$D20)&lt;2,IF(Supplementary!E20=0,0,Supplementary!E20),"")</f>
        <v/>
      </c>
      <c r="O37" s="444" t="str">
        <f>IF(COUNTBLANK(Supplementary!C20)=0,INT(Supplementary!AE20),"")</f>
        <v/>
      </c>
      <c r="P37" s="443" t="str">
        <f>IF(COUNTBLANK(Supplementary!C20)=1,"",IF(O37&lt;14,"J","S"))</f>
        <v/>
      </c>
      <c r="Q37" s="443" t="str">
        <f>IF(Supplementary!C20="","",IF(L37="X","K",IF(M37="N","PKEF","TRUE")))</f>
        <v/>
      </c>
      <c r="R37" s="443" t="str">
        <f>IF(LEFT(Supplementary!M20,1)="Y","TRUE","")</f>
        <v/>
      </c>
      <c r="S37" s="443" t="str">
        <f>IF(LEFT(Supplementary!N20,1)="Y","TRUE","")</f>
        <v/>
      </c>
      <c r="T37" s="443" t="str">
        <f>IF(LEFT(Supplementary!O20,1)="Y","TRUE","")</f>
        <v/>
      </c>
      <c r="U37" s="443" t="str">
        <f>IF(LEFT(Supplementary!P20,1)="Y","TRUE","")</f>
        <v/>
      </c>
      <c r="V37" s="443" t="str">
        <f>IF(LEFT(Supplementary!Q20,1)="Y","TRUE","")</f>
        <v/>
      </c>
      <c r="W37" s="443" t="str">
        <f>IF(Supplementary!S20="Open","TRUE","")</f>
        <v/>
      </c>
      <c r="X37" s="443" t="str">
        <f>IF(Supplementary!S20="Sporter","TRUE","")</f>
        <v/>
      </c>
      <c r="Y37" s="443" t="str">
        <f>IF(COUNTBLANK(W37:X37)=1,TRIM(PROPER(Supplementary!U20)),"")</f>
        <v/>
      </c>
      <c r="Z37" s="443" t="str">
        <f>IF(LEFT(Supplementary!R20,1)="Y","TRUE","")</f>
        <v/>
      </c>
      <c r="AA37" s="443" t="str">
        <f>IF(LEFT(Supplementary!W20,1)="Y","TRUE","")</f>
        <v/>
      </c>
      <c r="AB37" s="443" t="str">
        <f>IF(LEFT(Supplementary!V20,1)="Y","TRUE","")</f>
        <v/>
      </c>
      <c r="AC37" s="443" t="str">
        <f>IF(Supplementary!X20="A","TRUE","")</f>
        <v/>
      </c>
      <c r="AD37" s="443" t="str">
        <f>IF(Supplementary!X20="B","TRUE","")</f>
        <v/>
      </c>
      <c r="AE37" s="443" t="str">
        <f>IF(Supplementary!Y20="A","TRUE","")</f>
        <v/>
      </c>
      <c r="AF37" s="443" t="str">
        <f>IF(Supplementary!Y20="B","TRUE","")</f>
        <v/>
      </c>
      <c r="AG37" s="443" t="str">
        <f>IF(Supplementary!Y20="X","TRUE","")</f>
        <v/>
      </c>
      <c r="AH37" s="443" t="str">
        <f>IF(LEN(Supplementary!M20)&gt;1,Supplementary!M20,"")</f>
        <v/>
      </c>
      <c r="AI37" s="443" t="str">
        <f>IF(LEN(Supplementary!N20)&gt;1,Supplementary!N20,"")</f>
        <v/>
      </c>
      <c r="AJ37" s="443" t="str">
        <f>IF(LEN(Supplementary!O20)&gt;1,Supplementary!O20,"")</f>
        <v/>
      </c>
      <c r="AK37" s="443" t="str">
        <f>IF(LEN(Supplementary!P20)&gt;1,Supplementary!P20,"")</f>
        <v/>
      </c>
      <c r="AL37" s="443" t="str">
        <f>IF(LEN(Supplementary!Q20)&gt;1,Supplementary!Q20,"")</f>
        <v/>
      </c>
      <c r="AM37" s="443" t="str">
        <f>IF(LEN(Supplementary!R20)&gt;1,Supplementary!R20,"")</f>
        <v/>
      </c>
      <c r="AN37" s="443" t="str">
        <f>IF(LEN(Supplementary!T20)&gt;1,Supplementary!T20,"")</f>
        <v/>
      </c>
      <c r="AO37" s="443" t="str">
        <f>IF(LEN(Supplementary!V20)&gt;1,Supplementary!V20,"")</f>
        <v/>
      </c>
      <c r="AP37" s="443" t="str">
        <f>IF(COUNTBLANK(Supplementary!$C20:$D20)&lt;2,Supplementary!AP20,"")</f>
        <v/>
      </c>
      <c r="AQ37" s="409"/>
      <c r="AR37" s="409"/>
      <c r="AS37" s="409"/>
    </row>
    <row r="38" spans="1:45" ht="13.5" x14ac:dyDescent="0.25">
      <c r="A38" s="443" t="str">
        <f>IF(COUNTBLANK(Supplementary!$C21:$D21)&lt;2,Supplementary!B21,"")</f>
        <v/>
      </c>
      <c r="B38" s="444" t="str">
        <f>IF(COUNTBLANK(Supplementary!$C21:$D21)&lt;2,'Team Data'!A$2,"")</f>
        <v/>
      </c>
      <c r="C38" s="444" t="str">
        <f>IF(COUNTBLANK(Supplementary!$C21:$D21)&lt;2,'Team Data'!C6,"")</f>
        <v/>
      </c>
      <c r="D38" s="444"/>
      <c r="E38" s="444" t="str">
        <f>IF(COUNTBLANK(Supplementary!$C21:$D21)&lt;2,TRIM(PROPER(Supplementary!C21)),"")</f>
        <v/>
      </c>
      <c r="F38" s="444" t="str">
        <f>IF(COUNTBLANK(Supplementary!$C21:$D21)&lt;2,TRIM(PROPER(Supplementary!D21)),"")</f>
        <v/>
      </c>
      <c r="G38" s="443" t="str">
        <f>IF(COUNTBLANK(Supplementary!$C21:$D21)&lt;2,Supplementary!G21,"")</f>
        <v/>
      </c>
      <c r="H38" s="443" t="str">
        <f>IF(COUNTBLANK(Supplementary!$C21:$D21)&lt;2,Supplementary!H21,"")</f>
        <v/>
      </c>
      <c r="I38" s="443" t="str">
        <f>IF(COUNTBLANK(Supplementary!$C21:$D21)&lt;2,Supplementary!J21,"")</f>
        <v/>
      </c>
      <c r="J38" s="443" t="str">
        <f>IF(COUNTBLANK(Supplementary!$C21:$D21)&lt;2,Supplementary!F21,"")</f>
        <v/>
      </c>
      <c r="K38" s="443" t="str">
        <f>""</f>
        <v/>
      </c>
      <c r="L38" s="443" t="str">
        <f>IF(COUNTBLANK(Supplementary!$C21:$D21)&lt;2,IF(COUNTBLANK(Supplementary!$C21:$D21)&lt;2,IF(Supplementary!L21="X","X","")),"")</f>
        <v/>
      </c>
      <c r="M38" s="443" t="str">
        <f>IF(COUNTBLANK(Supplementary!$C21:$D21)&lt;2,IF(COUNTBLANK(Supplementary!$C21:$D21)&lt;2,IF(Supplementary!L21="N","N","")),"")</f>
        <v/>
      </c>
      <c r="N38" s="445" t="str">
        <f>IF(COUNTBLANK(Supplementary!$C21:$D21)&lt;2,IF(Supplementary!E21=0,0,Supplementary!E21),"")</f>
        <v/>
      </c>
      <c r="O38" s="444" t="str">
        <f>IF(COUNTBLANK(Supplementary!C21)=0,INT(Supplementary!AE21),"")</f>
        <v/>
      </c>
      <c r="P38" s="443" t="str">
        <f>IF(COUNTBLANK(Supplementary!C21)=1,"",IF(O38&lt;14,"J","S"))</f>
        <v/>
      </c>
      <c r="Q38" s="443" t="str">
        <f>IF(Supplementary!C21="","",IF(L38="X","K",IF(M38="N","PKEF","TRUE")))</f>
        <v/>
      </c>
      <c r="R38" s="443" t="str">
        <f>IF(LEFT(Supplementary!M21,1)="Y","TRUE","")</f>
        <v/>
      </c>
      <c r="S38" s="443" t="str">
        <f>IF(LEFT(Supplementary!N21,1)="Y","TRUE","")</f>
        <v/>
      </c>
      <c r="T38" s="443" t="str">
        <f>IF(LEFT(Supplementary!O21,1)="Y","TRUE","")</f>
        <v/>
      </c>
      <c r="U38" s="443" t="str">
        <f>IF(LEFT(Supplementary!P21,1)="Y","TRUE","")</f>
        <v/>
      </c>
      <c r="V38" s="443" t="str">
        <f>IF(LEFT(Supplementary!Q21,1)="Y","TRUE","")</f>
        <v/>
      </c>
      <c r="W38" s="443" t="str">
        <f>IF(Supplementary!S21="Open","TRUE","")</f>
        <v/>
      </c>
      <c r="X38" s="443" t="str">
        <f>IF(Supplementary!S21="Sporter","TRUE","")</f>
        <v/>
      </c>
      <c r="Y38" s="443" t="str">
        <f>IF(COUNTBLANK(W38:X38)=1,TRIM(PROPER(Supplementary!U21)),"")</f>
        <v/>
      </c>
      <c r="Z38" s="443" t="str">
        <f>IF(LEFT(Supplementary!R21,1)="Y","TRUE","")</f>
        <v/>
      </c>
      <c r="AA38" s="443" t="str">
        <f>IF(LEFT(Supplementary!W21,1)="Y","TRUE","")</f>
        <v/>
      </c>
      <c r="AB38" s="443" t="str">
        <f>IF(LEFT(Supplementary!V21,1)="Y","TRUE","")</f>
        <v/>
      </c>
      <c r="AC38" s="443" t="str">
        <f>IF(Supplementary!X21="A","TRUE","")</f>
        <v/>
      </c>
      <c r="AD38" s="443" t="str">
        <f>IF(Supplementary!X21="B","TRUE","")</f>
        <v/>
      </c>
      <c r="AE38" s="443" t="str">
        <f>IF(Supplementary!Y21="A","TRUE","")</f>
        <v/>
      </c>
      <c r="AF38" s="443" t="str">
        <f>IF(Supplementary!Y21="B","TRUE","")</f>
        <v/>
      </c>
      <c r="AG38" s="443" t="str">
        <f>IF(Supplementary!Y21="X","TRUE","")</f>
        <v/>
      </c>
      <c r="AH38" s="443" t="str">
        <f>IF(LEN(Supplementary!M21)&gt;1,Supplementary!M21,"")</f>
        <v/>
      </c>
      <c r="AI38" s="443" t="str">
        <f>IF(LEN(Supplementary!N21)&gt;1,Supplementary!N21,"")</f>
        <v/>
      </c>
      <c r="AJ38" s="443" t="str">
        <f>IF(LEN(Supplementary!O21)&gt;1,Supplementary!O21,"")</f>
        <v/>
      </c>
      <c r="AK38" s="443" t="str">
        <f>IF(LEN(Supplementary!P21)&gt;1,Supplementary!P21,"")</f>
        <v/>
      </c>
      <c r="AL38" s="443" t="str">
        <f>IF(LEN(Supplementary!Q21)&gt;1,Supplementary!Q21,"")</f>
        <v/>
      </c>
      <c r="AM38" s="443" t="str">
        <f>IF(LEN(Supplementary!R21)&gt;1,Supplementary!R21,"")</f>
        <v/>
      </c>
      <c r="AN38" s="443" t="str">
        <f>IF(LEN(Supplementary!T21)&gt;1,Supplementary!T21,"")</f>
        <v/>
      </c>
      <c r="AO38" s="443" t="str">
        <f>IF(LEN(Supplementary!V21)&gt;1,Supplementary!V21,"")</f>
        <v/>
      </c>
      <c r="AP38" s="443" t="str">
        <f>IF(COUNTBLANK(Supplementary!$C21:$D21)&lt;2,Supplementary!AP21,"")</f>
        <v/>
      </c>
    </row>
    <row r="39" spans="1:45" ht="13.5" x14ac:dyDescent="0.25">
      <c r="A39" s="443" t="str">
        <f>IF(COUNTBLANK(Supplementary!$C22:$D22)&lt;2,Supplementary!B22,"")</f>
        <v/>
      </c>
      <c r="B39" s="444" t="str">
        <f>IF(COUNTBLANK(Supplementary!$C22:$D22)&lt;2,'Team Data'!A$2,"")</f>
        <v/>
      </c>
      <c r="C39" s="444" t="str">
        <f>IF(COUNTBLANK(Supplementary!$C22:$D22)&lt;2,'Team Data'!C7,"")</f>
        <v/>
      </c>
      <c r="D39" s="444"/>
      <c r="E39" s="444" t="str">
        <f>IF(COUNTBLANK(Supplementary!$C22:$D22)&lt;2,TRIM(PROPER(Supplementary!C22)),"")</f>
        <v/>
      </c>
      <c r="F39" s="444" t="str">
        <f>IF(COUNTBLANK(Supplementary!$C22:$D22)&lt;2,TRIM(PROPER(Supplementary!D22)),"")</f>
        <v/>
      </c>
      <c r="G39" s="443" t="str">
        <f>IF(COUNTBLANK(Supplementary!$C22:$D22)&lt;2,Supplementary!G22,"")</f>
        <v/>
      </c>
      <c r="H39" s="443" t="str">
        <f>IF(COUNTBLANK(Supplementary!$C22:$D22)&lt;2,Supplementary!H22,"")</f>
        <v/>
      </c>
      <c r="I39" s="443" t="str">
        <f>IF(COUNTBLANK(Supplementary!$C22:$D22)&lt;2,Supplementary!J22,"")</f>
        <v/>
      </c>
      <c r="J39" s="443" t="str">
        <f>IF(COUNTBLANK(Supplementary!$C22:$D22)&lt;2,Supplementary!F22,"")</f>
        <v/>
      </c>
      <c r="K39" s="443" t="str">
        <f>""</f>
        <v/>
      </c>
      <c r="L39" s="443" t="str">
        <f>IF(COUNTBLANK(Supplementary!$C22:$D22)&lt;2,IF(COUNTBLANK(Supplementary!$C22:$D22)&lt;2,IF(Supplementary!L22="X","X","")),"")</f>
        <v/>
      </c>
      <c r="M39" s="443" t="str">
        <f>IF(COUNTBLANK(Supplementary!$C22:$D22)&lt;2,IF(COUNTBLANK(Supplementary!$C22:$D22)&lt;2,IF(Supplementary!L22="N","N","")),"")</f>
        <v/>
      </c>
      <c r="N39" s="445" t="str">
        <f>IF(COUNTBLANK(Supplementary!$C22:$D22)&lt;2,IF(Supplementary!E22=0,0,Supplementary!E22),"")</f>
        <v/>
      </c>
      <c r="O39" s="444" t="str">
        <f>IF(COUNTBLANK(Supplementary!C22)=0,INT(Supplementary!AE22),"")</f>
        <v/>
      </c>
      <c r="P39" s="443" t="str">
        <f>IF(COUNTBLANK(Supplementary!C22)=1,"",IF(O39&lt;14,"J","S"))</f>
        <v/>
      </c>
      <c r="Q39" s="443" t="str">
        <f>IF(Supplementary!C22="","",IF(L39="X","K",IF(M39="N","PKEF","TRUE")))</f>
        <v/>
      </c>
      <c r="R39" s="443" t="str">
        <f>IF(LEFT(Supplementary!M22,1)="Y","TRUE","")</f>
        <v/>
      </c>
      <c r="S39" s="443" t="str">
        <f>IF(LEFT(Supplementary!N22,1)="Y","TRUE","")</f>
        <v/>
      </c>
      <c r="T39" s="443" t="str">
        <f>IF(LEFT(Supplementary!O22,1)="Y","TRUE","")</f>
        <v/>
      </c>
      <c r="U39" s="443" t="str">
        <f>IF(LEFT(Supplementary!P22,1)="Y","TRUE","")</f>
        <v/>
      </c>
      <c r="V39" s="443" t="str">
        <f>IF(LEFT(Supplementary!Q22,1)="Y","TRUE","")</f>
        <v/>
      </c>
      <c r="W39" s="443" t="str">
        <f>IF(Supplementary!S22="Open","TRUE","")</f>
        <v/>
      </c>
      <c r="X39" s="443" t="str">
        <f>IF(Supplementary!S22="Sporter","TRUE","")</f>
        <v/>
      </c>
      <c r="Y39" s="443" t="str">
        <f>IF(COUNTBLANK(W39:X39)=1,TRIM(PROPER(Supplementary!U22)),"")</f>
        <v/>
      </c>
      <c r="Z39" s="443" t="str">
        <f>IF(LEFT(Supplementary!R22,1)="Y","TRUE","")</f>
        <v/>
      </c>
      <c r="AA39" s="443" t="str">
        <f>IF(LEFT(Supplementary!W22,1)="Y","TRUE","")</f>
        <v/>
      </c>
      <c r="AB39" s="443" t="str">
        <f>IF(LEFT(Supplementary!V22,1)="Y","TRUE","")</f>
        <v/>
      </c>
      <c r="AC39" s="443" t="str">
        <f>IF(Supplementary!X22="A","TRUE","")</f>
        <v/>
      </c>
      <c r="AD39" s="443" t="str">
        <f>IF(Supplementary!X22="B","TRUE","")</f>
        <v/>
      </c>
      <c r="AE39" s="443" t="str">
        <f>IF(Supplementary!Y22="A","TRUE","")</f>
        <v/>
      </c>
      <c r="AF39" s="443" t="str">
        <f>IF(Supplementary!Y22="B","TRUE","")</f>
        <v/>
      </c>
      <c r="AG39" s="443" t="str">
        <f>IF(Supplementary!Y22="X","TRUE","")</f>
        <v/>
      </c>
      <c r="AH39" s="443" t="str">
        <f>IF(LEN(Supplementary!M22)&gt;1,Supplementary!M22,"")</f>
        <v/>
      </c>
      <c r="AI39" s="443" t="str">
        <f>IF(LEN(Supplementary!N22)&gt;1,Supplementary!N22,"")</f>
        <v/>
      </c>
      <c r="AJ39" s="443" t="str">
        <f>IF(LEN(Supplementary!O22)&gt;1,Supplementary!O22,"")</f>
        <v/>
      </c>
      <c r="AK39" s="443" t="str">
        <f>IF(LEN(Supplementary!P22)&gt;1,Supplementary!P22,"")</f>
        <v/>
      </c>
      <c r="AL39" s="443" t="str">
        <f>IF(LEN(Supplementary!Q22)&gt;1,Supplementary!Q22,"")</f>
        <v/>
      </c>
      <c r="AM39" s="443" t="str">
        <f>IF(LEN(Supplementary!R22)&gt;1,Supplementary!R22,"")</f>
        <v/>
      </c>
      <c r="AN39" s="443" t="str">
        <f>IF(LEN(Supplementary!T22)&gt;1,Supplementary!T22,"")</f>
        <v/>
      </c>
      <c r="AO39" s="443" t="str">
        <f>IF(LEN(Supplementary!V22)&gt;1,Supplementary!V22,"")</f>
        <v/>
      </c>
      <c r="AP39" s="443" t="str">
        <f>IF(COUNTBLANK(Supplementary!$C22:$D22)&lt;2,Supplementary!AP22,"")</f>
        <v/>
      </c>
    </row>
    <row r="40" spans="1:45" ht="13.5" x14ac:dyDescent="0.25">
      <c r="A40" s="443" t="str">
        <f>IF(COUNTBLANK(Supplementary!$C23:$D23)&lt;2,Supplementary!B23,"")</f>
        <v/>
      </c>
      <c r="B40" s="444" t="str">
        <f>IF(COUNTBLANK(Supplementary!$C23:$D23)&lt;2,'Team Data'!A$2,"")</f>
        <v/>
      </c>
      <c r="C40" s="444" t="str">
        <f>IF(COUNTBLANK(Supplementary!$C23:$D23)&lt;2,'Team Data'!C8,"")</f>
        <v/>
      </c>
      <c r="D40" s="444"/>
      <c r="E40" s="444" t="str">
        <f>IF(COUNTBLANK(Supplementary!$C23:$D23)&lt;2,TRIM(PROPER(Supplementary!C23)),"")</f>
        <v/>
      </c>
      <c r="F40" s="444" t="str">
        <f>IF(COUNTBLANK(Supplementary!$C23:$D23)&lt;2,TRIM(PROPER(Supplementary!D23)),"")</f>
        <v/>
      </c>
      <c r="G40" s="443" t="str">
        <f>IF(COUNTBLANK(Supplementary!$C23:$D23)&lt;2,Supplementary!G23,"")</f>
        <v/>
      </c>
      <c r="H40" s="443" t="str">
        <f>IF(COUNTBLANK(Supplementary!$C23:$D23)&lt;2,Supplementary!H23,"")</f>
        <v/>
      </c>
      <c r="I40" s="443" t="str">
        <f>IF(COUNTBLANK(Supplementary!$C23:$D23)&lt;2,Supplementary!J23,"")</f>
        <v/>
      </c>
      <c r="J40" s="443" t="str">
        <f>IF(COUNTBLANK(Supplementary!$C23:$D23)&lt;2,Supplementary!F23,"")</f>
        <v/>
      </c>
      <c r="K40" s="443" t="str">
        <f>""</f>
        <v/>
      </c>
      <c r="L40" s="443" t="str">
        <f>IF(COUNTBLANK(Supplementary!$C23:$D23)&lt;2,IF(COUNTBLANK(Supplementary!$C23:$D23)&lt;2,IF(Supplementary!L23="X","X","")),"")</f>
        <v/>
      </c>
      <c r="M40" s="443" t="str">
        <f>IF(COUNTBLANK(Supplementary!$C23:$D23)&lt;2,IF(COUNTBLANK(Supplementary!$C23:$D23)&lt;2,IF(Supplementary!L23="N","N","")),"")</f>
        <v/>
      </c>
      <c r="N40" s="445" t="str">
        <f>IF(COUNTBLANK(Supplementary!$C23:$D23)&lt;2,IF(Supplementary!E23=0,0,Supplementary!E23),"")</f>
        <v/>
      </c>
      <c r="O40" s="444" t="str">
        <f>IF(COUNTBLANK(Supplementary!C23)=0,INT(Supplementary!AE23),"")</f>
        <v/>
      </c>
      <c r="P40" s="443" t="str">
        <f>IF(COUNTBLANK(Supplementary!C23)=1,"",IF(O40&lt;14,"J","S"))</f>
        <v/>
      </c>
      <c r="Q40" s="443" t="str">
        <f>IF(Supplementary!C23="","",IF(L40="X","K",IF(M40="N","PKEF","TRUE")))</f>
        <v/>
      </c>
      <c r="R40" s="443" t="str">
        <f>IF(LEFT(Supplementary!M23,1)="Y","TRUE","")</f>
        <v/>
      </c>
      <c r="S40" s="443" t="str">
        <f>IF(LEFT(Supplementary!N23,1)="Y","TRUE","")</f>
        <v/>
      </c>
      <c r="T40" s="443" t="str">
        <f>IF(LEFT(Supplementary!O23,1)="Y","TRUE","")</f>
        <v/>
      </c>
      <c r="U40" s="443" t="str">
        <f>IF(LEFT(Supplementary!P23,1)="Y","TRUE","")</f>
        <v/>
      </c>
      <c r="V40" s="443" t="str">
        <f>IF(LEFT(Supplementary!Q23,1)="Y","TRUE","")</f>
        <v/>
      </c>
      <c r="W40" s="443" t="str">
        <f>IF(Supplementary!S23="Open","TRUE","")</f>
        <v/>
      </c>
      <c r="X40" s="443" t="str">
        <f>IF(Supplementary!S23="Sporter","TRUE","")</f>
        <v/>
      </c>
      <c r="Y40" s="443" t="str">
        <f>IF(COUNTBLANK(W40:X40)=1,TRIM(PROPER(Supplementary!U23)),"")</f>
        <v/>
      </c>
      <c r="Z40" s="443" t="str">
        <f>IF(LEFT(Supplementary!R23,1)="Y","TRUE","")</f>
        <v/>
      </c>
      <c r="AA40" s="443" t="str">
        <f>IF(LEFT(Supplementary!W23,1)="Y","TRUE","")</f>
        <v/>
      </c>
      <c r="AB40" s="443" t="str">
        <f>IF(LEFT(Supplementary!V23,1)="Y","TRUE","")</f>
        <v/>
      </c>
      <c r="AC40" s="443" t="str">
        <f>IF(Supplementary!X23="A","TRUE","")</f>
        <v/>
      </c>
      <c r="AD40" s="443" t="str">
        <f>IF(Supplementary!X23="B","TRUE","")</f>
        <v/>
      </c>
      <c r="AE40" s="443" t="str">
        <f>IF(Supplementary!Y23="A","TRUE","")</f>
        <v/>
      </c>
      <c r="AF40" s="443" t="str">
        <f>IF(Supplementary!Y23="B","TRUE","")</f>
        <v/>
      </c>
      <c r="AG40" s="443" t="str">
        <f>IF(Supplementary!Y23="X","TRUE","")</f>
        <v/>
      </c>
      <c r="AH40" s="443" t="str">
        <f>IF(LEN(Supplementary!M23)&gt;1,Supplementary!M23,"")</f>
        <v/>
      </c>
      <c r="AI40" s="443" t="str">
        <f>IF(LEN(Supplementary!N23)&gt;1,Supplementary!N23,"")</f>
        <v/>
      </c>
      <c r="AJ40" s="443" t="str">
        <f>IF(LEN(Supplementary!O23)&gt;1,Supplementary!O23,"")</f>
        <v/>
      </c>
      <c r="AK40" s="443" t="str">
        <f>IF(LEN(Supplementary!P23)&gt;1,Supplementary!P23,"")</f>
        <v/>
      </c>
      <c r="AL40" s="443" t="str">
        <f>IF(LEN(Supplementary!Q23)&gt;1,Supplementary!Q23,"")</f>
        <v/>
      </c>
      <c r="AM40" s="443" t="str">
        <f>IF(LEN(Supplementary!R23)&gt;1,Supplementary!R23,"")</f>
        <v/>
      </c>
      <c r="AN40" s="443" t="str">
        <f>IF(LEN(Supplementary!T23)&gt;1,Supplementary!T23,"")</f>
        <v/>
      </c>
      <c r="AO40" s="443" t="str">
        <f>IF(LEN(Supplementary!V23)&gt;1,Supplementary!V23,"")</f>
        <v/>
      </c>
      <c r="AP40" s="443" t="str">
        <f>IF(COUNTBLANK(Supplementary!$C23:$D23)&lt;2,Supplementary!AP23,"")</f>
        <v/>
      </c>
    </row>
    <row r="41" spans="1:45" ht="13.5" x14ac:dyDescent="0.25">
      <c r="A41" s="443" t="str">
        <f>IF(COUNTBLANK(Supplementary!$C24:$D24)&lt;2,Supplementary!B24,"")</f>
        <v/>
      </c>
      <c r="B41" s="444" t="str">
        <f>IF(COUNTBLANK(Supplementary!$C24:$D24)&lt;2,'Team Data'!A$2,"")</f>
        <v/>
      </c>
      <c r="C41" s="444" t="str">
        <f>IF(COUNTBLANK(Supplementary!$C24:$D24)&lt;2,'Team Data'!C9,"")</f>
        <v/>
      </c>
      <c r="D41" s="444"/>
      <c r="E41" s="444" t="str">
        <f>IF(COUNTBLANK(Supplementary!$C24:$D24)&lt;2,TRIM(PROPER(Supplementary!C24)),"")</f>
        <v/>
      </c>
      <c r="F41" s="444" t="str">
        <f>IF(COUNTBLANK(Supplementary!$C24:$D24)&lt;2,TRIM(PROPER(Supplementary!D24)),"")</f>
        <v/>
      </c>
      <c r="G41" s="443" t="str">
        <f>IF(COUNTBLANK(Supplementary!$C24:$D24)&lt;2,Supplementary!G24,"")</f>
        <v/>
      </c>
      <c r="H41" s="443" t="str">
        <f>IF(COUNTBLANK(Supplementary!$C24:$D24)&lt;2,Supplementary!H24,"")</f>
        <v/>
      </c>
      <c r="I41" s="443" t="str">
        <f>IF(COUNTBLANK(Supplementary!$C24:$D24)&lt;2,Supplementary!J24,"")</f>
        <v/>
      </c>
      <c r="J41" s="443" t="str">
        <f>IF(COUNTBLANK(Supplementary!$C24:$D24)&lt;2,Supplementary!F24,"")</f>
        <v/>
      </c>
      <c r="K41" s="443" t="str">
        <f>""</f>
        <v/>
      </c>
      <c r="L41" s="443" t="str">
        <f>IF(COUNTBLANK(Supplementary!$C24:$D24)&lt;2,IF(COUNTBLANK(Supplementary!$C24:$D24)&lt;2,IF(Supplementary!L24="X","X","")),"")</f>
        <v/>
      </c>
      <c r="M41" s="443" t="str">
        <f>IF(COUNTBLANK(Supplementary!$C24:$D24)&lt;2,IF(COUNTBLANK(Supplementary!$C24:$D24)&lt;2,IF(Supplementary!L24="N","N","")),"")</f>
        <v/>
      </c>
      <c r="N41" s="445" t="str">
        <f>IF(COUNTBLANK(Supplementary!$C24:$D24)&lt;2,IF(Supplementary!E24=0,0,Supplementary!E24),"")</f>
        <v/>
      </c>
      <c r="O41" s="444" t="str">
        <f>IF(COUNTBLANK(Supplementary!C24)=0,INT(Supplementary!AE24),"")</f>
        <v/>
      </c>
      <c r="P41" s="443" t="str">
        <f>IF(COUNTBLANK(Supplementary!C24)=1,"",IF(O41&lt;14,"J","S"))</f>
        <v/>
      </c>
      <c r="Q41" s="443" t="str">
        <f>IF(Supplementary!C24="","",IF(L41="X","K",IF(M41="N","PKEF","TRUE")))</f>
        <v/>
      </c>
      <c r="R41" s="443" t="str">
        <f>IF(LEFT(Supplementary!M24,1)="Y","TRUE","")</f>
        <v/>
      </c>
      <c r="S41" s="443" t="str">
        <f>IF(LEFT(Supplementary!N24,1)="Y","TRUE","")</f>
        <v/>
      </c>
      <c r="T41" s="443" t="str">
        <f>IF(LEFT(Supplementary!O24,1)="Y","TRUE","")</f>
        <v/>
      </c>
      <c r="U41" s="443" t="str">
        <f>IF(LEFT(Supplementary!P24,1)="Y","TRUE","")</f>
        <v/>
      </c>
      <c r="V41" s="443" t="str">
        <f>IF(LEFT(Supplementary!Q24,1)="Y","TRUE","")</f>
        <v/>
      </c>
      <c r="W41" s="443" t="str">
        <f>IF(Supplementary!S24="Open","TRUE","")</f>
        <v/>
      </c>
      <c r="X41" s="443" t="str">
        <f>IF(Supplementary!S24="Sporter","TRUE","")</f>
        <v/>
      </c>
      <c r="Y41" s="443" t="str">
        <f>IF(COUNTBLANK(W41:X41)=1,TRIM(PROPER(Supplementary!U24)),"")</f>
        <v/>
      </c>
      <c r="Z41" s="443" t="str">
        <f>IF(LEFT(Supplementary!R24,1)="Y","TRUE","")</f>
        <v/>
      </c>
      <c r="AA41" s="443" t="str">
        <f>IF(LEFT(Supplementary!W24,1)="Y","TRUE","")</f>
        <v/>
      </c>
      <c r="AB41" s="443" t="str">
        <f>IF(LEFT(Supplementary!V24,1)="Y","TRUE","")</f>
        <v/>
      </c>
      <c r="AC41" s="443" t="str">
        <f>IF(Supplementary!X24="A","TRUE","")</f>
        <v/>
      </c>
      <c r="AD41" s="443" t="str">
        <f>IF(Supplementary!X24="B","TRUE","")</f>
        <v/>
      </c>
      <c r="AE41" s="443" t="str">
        <f>IF(Supplementary!Y24="A","TRUE","")</f>
        <v/>
      </c>
      <c r="AF41" s="443" t="str">
        <f>IF(Supplementary!Y24="B","TRUE","")</f>
        <v/>
      </c>
      <c r="AG41" s="443" t="str">
        <f>IF(Supplementary!Y24="X","TRUE","")</f>
        <v/>
      </c>
      <c r="AH41" s="443" t="str">
        <f>IF(LEN(Supplementary!M24)&gt;1,Supplementary!M24,"")</f>
        <v/>
      </c>
      <c r="AI41" s="443" t="str">
        <f>IF(LEN(Supplementary!N24)&gt;1,Supplementary!N24,"")</f>
        <v/>
      </c>
      <c r="AJ41" s="443" t="str">
        <f>IF(LEN(Supplementary!O24)&gt;1,Supplementary!O24,"")</f>
        <v/>
      </c>
      <c r="AK41" s="443" t="str">
        <f>IF(LEN(Supplementary!P24)&gt;1,Supplementary!P24,"")</f>
        <v/>
      </c>
      <c r="AL41" s="443" t="str">
        <f>IF(LEN(Supplementary!Q24)&gt;1,Supplementary!Q24,"")</f>
        <v/>
      </c>
      <c r="AM41" s="443" t="str">
        <f>IF(LEN(Supplementary!R24)&gt;1,Supplementary!R24,"")</f>
        <v/>
      </c>
      <c r="AN41" s="443" t="str">
        <f>IF(LEN(Supplementary!T24)&gt;1,Supplementary!T24,"")</f>
        <v/>
      </c>
      <c r="AO41" s="443" t="str">
        <f>IF(LEN(Supplementary!V24)&gt;1,Supplementary!V24,"")</f>
        <v/>
      </c>
      <c r="AP41" s="443" t="str">
        <f>IF(COUNTBLANK(Supplementary!$C24:$D24)&lt;2,Supplementary!AP24,"")</f>
        <v/>
      </c>
    </row>
    <row r="42" spans="1:45" ht="13.5" x14ac:dyDescent="0.25">
      <c r="A42" s="443" t="str">
        <f>IF(COUNTBLANK(Supplementary!$C25:$D25)&lt;2,Supplementary!B25,"")</f>
        <v/>
      </c>
      <c r="B42" s="444" t="str">
        <f>IF(COUNTBLANK(Supplementary!$C25:$D25)&lt;2,'Team Data'!A$2,"")</f>
        <v/>
      </c>
      <c r="C42" s="444" t="str">
        <f>IF(COUNTBLANK(Supplementary!$C25:$D25)&lt;2,'Team Data'!C10,"")</f>
        <v/>
      </c>
      <c r="D42" s="444"/>
      <c r="E42" s="444" t="str">
        <f>IF(COUNTBLANK(Supplementary!$C25:$D25)&lt;2,TRIM(PROPER(Supplementary!C25)),"")</f>
        <v/>
      </c>
      <c r="F42" s="444" t="str">
        <f>IF(COUNTBLANK(Supplementary!$C25:$D25)&lt;2,TRIM(PROPER(Supplementary!D25)),"")</f>
        <v/>
      </c>
      <c r="G42" s="443" t="str">
        <f>IF(COUNTBLANK(Supplementary!$C25:$D25)&lt;2,Supplementary!G25,"")</f>
        <v/>
      </c>
      <c r="H42" s="443" t="str">
        <f>IF(COUNTBLANK(Supplementary!$C25:$D25)&lt;2,Supplementary!H25,"")</f>
        <v/>
      </c>
      <c r="I42" s="443" t="str">
        <f>IF(COUNTBLANK(Supplementary!$C25:$D25)&lt;2,Supplementary!J25,"")</f>
        <v/>
      </c>
      <c r="J42" s="443" t="str">
        <f>IF(COUNTBLANK(Supplementary!$C25:$D25)&lt;2,Supplementary!F25,"")</f>
        <v/>
      </c>
      <c r="K42" s="443" t="str">
        <f>""</f>
        <v/>
      </c>
      <c r="L42" s="443" t="str">
        <f>IF(COUNTBLANK(Supplementary!$C25:$D25)&lt;2,IF(COUNTBLANK(Supplementary!$C25:$D25)&lt;2,IF(Supplementary!L25="X","X","")),"")</f>
        <v/>
      </c>
      <c r="M42" s="443" t="str">
        <f>IF(COUNTBLANK(Supplementary!$C25:$D25)&lt;2,IF(COUNTBLANK(Supplementary!$C25:$D25)&lt;2,IF(Supplementary!L25="N","N","")),"")</f>
        <v/>
      </c>
      <c r="N42" s="445" t="str">
        <f>IF(COUNTBLANK(Supplementary!$C25:$D25)&lt;2,IF(Supplementary!E25=0,0,Supplementary!E25),"")</f>
        <v/>
      </c>
      <c r="O42" s="444" t="str">
        <f>IF(COUNTBLANK(Supplementary!C25)=0,INT(Supplementary!AE25),"")</f>
        <v/>
      </c>
      <c r="P42" s="443" t="str">
        <f>IF(COUNTBLANK(Supplementary!C25)=1,"",IF(O42&lt;14,"J","S"))</f>
        <v/>
      </c>
      <c r="Q42" s="443" t="str">
        <f>IF(Supplementary!C25="","",IF(L42="X","K",IF(M42="N","PKEF","TRUE")))</f>
        <v/>
      </c>
      <c r="R42" s="443" t="str">
        <f>IF(LEFT(Supplementary!M25,1)="Y","TRUE","")</f>
        <v/>
      </c>
      <c r="S42" s="443" t="str">
        <f>IF(LEFT(Supplementary!N25,1)="Y","TRUE","")</f>
        <v/>
      </c>
      <c r="T42" s="443" t="str">
        <f>IF(LEFT(Supplementary!O25,1)="Y","TRUE","")</f>
        <v/>
      </c>
      <c r="U42" s="443" t="str">
        <f>IF(LEFT(Supplementary!P25,1)="Y","TRUE","")</f>
        <v/>
      </c>
      <c r="V42" s="443" t="str">
        <f>IF(LEFT(Supplementary!Q25,1)="Y","TRUE","")</f>
        <v/>
      </c>
      <c r="W42" s="443" t="str">
        <f>IF(Supplementary!S25="Open","TRUE","")</f>
        <v/>
      </c>
      <c r="X42" s="443" t="str">
        <f>IF(Supplementary!S25="Sporter","TRUE","")</f>
        <v/>
      </c>
      <c r="Y42" s="443" t="str">
        <f>IF(COUNTBLANK(W42:X42)=1,TRIM(PROPER(Supplementary!U25)),"")</f>
        <v/>
      </c>
      <c r="Z42" s="443" t="str">
        <f>IF(LEFT(Supplementary!R25,1)="Y","TRUE","")</f>
        <v/>
      </c>
      <c r="AA42" s="443" t="str">
        <f>IF(LEFT(Supplementary!W25,1)="Y","TRUE","")</f>
        <v/>
      </c>
      <c r="AB42" s="443" t="str">
        <f>IF(LEFT(Supplementary!V25,1)="Y","TRUE","")</f>
        <v/>
      </c>
      <c r="AC42" s="443" t="str">
        <f>IF(Supplementary!X25="A","TRUE","")</f>
        <v/>
      </c>
      <c r="AD42" s="443" t="str">
        <f>IF(Supplementary!X25="B","TRUE","")</f>
        <v/>
      </c>
      <c r="AE42" s="443" t="str">
        <f>IF(Supplementary!Y25="A","TRUE","")</f>
        <v/>
      </c>
      <c r="AF42" s="443" t="str">
        <f>IF(Supplementary!Y25="B","TRUE","")</f>
        <v/>
      </c>
      <c r="AG42" s="443" t="str">
        <f>IF(Supplementary!Y25="X","TRUE","")</f>
        <v/>
      </c>
      <c r="AH42" s="443" t="str">
        <f>IF(LEN(Supplementary!M25)&gt;1,Supplementary!M25,"")</f>
        <v/>
      </c>
      <c r="AI42" s="443" t="str">
        <f>IF(LEN(Supplementary!N25)&gt;1,Supplementary!N25,"")</f>
        <v/>
      </c>
      <c r="AJ42" s="443" t="str">
        <f>IF(LEN(Supplementary!O25)&gt;1,Supplementary!O25,"")</f>
        <v/>
      </c>
      <c r="AK42" s="443" t="str">
        <f>IF(LEN(Supplementary!P25)&gt;1,Supplementary!P25,"")</f>
        <v/>
      </c>
      <c r="AL42" s="443" t="str">
        <f>IF(LEN(Supplementary!Q25)&gt;1,Supplementary!Q25,"")</f>
        <v/>
      </c>
      <c r="AM42" s="443" t="str">
        <f>IF(LEN(Supplementary!R25)&gt;1,Supplementary!R25,"")</f>
        <v/>
      </c>
      <c r="AN42" s="443" t="str">
        <f>IF(LEN(Supplementary!T25)&gt;1,Supplementary!T25,"")</f>
        <v/>
      </c>
      <c r="AO42" s="443" t="str">
        <f>IF(LEN(Supplementary!V25)&gt;1,Supplementary!V25,"")</f>
        <v/>
      </c>
      <c r="AP42" s="443" t="str">
        <f>IF(COUNTBLANK(Supplementary!$C25:$D25)&lt;2,Supplementary!AP25,"")</f>
        <v/>
      </c>
    </row>
    <row r="43" spans="1:45" ht="13.5" x14ac:dyDescent="0.25">
      <c r="A43" s="443" t="str">
        <f>IF(COUNTBLANK(Supplementary!$C26:$D26)&lt;2,Supplementary!B26,"")</f>
        <v/>
      </c>
      <c r="B43" s="444" t="str">
        <f>IF(COUNTBLANK(Supplementary!$C26:$D26)&lt;2,'Team Data'!A$2,"")</f>
        <v/>
      </c>
      <c r="C43" s="444" t="str">
        <f>IF(COUNTBLANK(Supplementary!$C26:$D26)&lt;2,'Team Data'!C11,"")</f>
        <v/>
      </c>
      <c r="D43" s="444"/>
      <c r="E43" s="444" t="str">
        <f>IF(COUNTBLANK(Supplementary!$C26:$D26)&lt;2,TRIM(PROPER(Supplementary!C26)),"")</f>
        <v/>
      </c>
      <c r="F43" s="444" t="str">
        <f>IF(COUNTBLANK(Supplementary!$C26:$D26)&lt;2,TRIM(PROPER(Supplementary!D26)),"")</f>
        <v/>
      </c>
      <c r="G43" s="443" t="str">
        <f>IF(COUNTBLANK(Supplementary!$C26:$D26)&lt;2,Supplementary!G26,"")</f>
        <v/>
      </c>
      <c r="H43" s="443" t="str">
        <f>IF(COUNTBLANK(Supplementary!$C26:$D26)&lt;2,Supplementary!H26,"")</f>
        <v/>
      </c>
      <c r="I43" s="443" t="str">
        <f>IF(COUNTBLANK(Supplementary!$C26:$D26)&lt;2,Supplementary!J26,"")</f>
        <v/>
      </c>
      <c r="J43" s="443" t="str">
        <f>IF(COUNTBLANK(Supplementary!$C26:$D26)&lt;2,Supplementary!F26,"")</f>
        <v/>
      </c>
      <c r="K43" s="443" t="str">
        <f>""</f>
        <v/>
      </c>
      <c r="L43" s="443" t="str">
        <f>IF(COUNTBLANK(Supplementary!$C26:$D26)&lt;2,IF(COUNTBLANK(Supplementary!$C26:$D26)&lt;2,IF(Supplementary!L26="X","X","")),"")</f>
        <v/>
      </c>
      <c r="M43" s="443" t="str">
        <f>IF(COUNTBLANK(Supplementary!$C26:$D26)&lt;2,IF(COUNTBLANK(Supplementary!$C26:$D26)&lt;2,IF(Supplementary!L26="N","N","")),"")</f>
        <v/>
      </c>
      <c r="N43" s="445" t="str">
        <f>IF(COUNTBLANK(Supplementary!$C26:$D26)&lt;2,IF(Supplementary!E26=0,0,Supplementary!E26),"")</f>
        <v/>
      </c>
      <c r="O43" s="444" t="str">
        <f>IF(COUNTBLANK(Supplementary!C26)=0,INT(Supplementary!AE26),"")</f>
        <v/>
      </c>
      <c r="P43" s="443" t="str">
        <f>IF(COUNTBLANK(Supplementary!C26)=1,"",IF(O43&lt;14,"J","S"))</f>
        <v/>
      </c>
      <c r="Q43" s="443" t="str">
        <f>IF(Supplementary!C26="","",IF(L43="X","K",IF(M43="N","PKEF","TRUE")))</f>
        <v/>
      </c>
      <c r="R43" s="443" t="str">
        <f>IF(LEFT(Supplementary!M26,1)="Y","TRUE","")</f>
        <v/>
      </c>
      <c r="S43" s="443" t="str">
        <f>IF(LEFT(Supplementary!N26,1)="Y","TRUE","")</f>
        <v/>
      </c>
      <c r="T43" s="443" t="str">
        <f>IF(LEFT(Supplementary!O26,1)="Y","TRUE","")</f>
        <v/>
      </c>
      <c r="U43" s="443" t="str">
        <f>IF(LEFT(Supplementary!P26,1)="Y","TRUE","")</f>
        <v/>
      </c>
      <c r="V43" s="443" t="str">
        <f>IF(LEFT(Supplementary!Q26,1)="Y","TRUE","")</f>
        <v/>
      </c>
      <c r="W43" s="443" t="str">
        <f>IF(Supplementary!S26="Open","TRUE","")</f>
        <v/>
      </c>
      <c r="X43" s="443" t="str">
        <f>IF(Supplementary!S26="Sporter","TRUE","")</f>
        <v/>
      </c>
      <c r="Y43" s="443" t="str">
        <f>IF(COUNTBLANK(W43:X43)=1,TRIM(PROPER(Supplementary!U26)),"")</f>
        <v/>
      </c>
      <c r="Z43" s="443" t="str">
        <f>IF(LEFT(Supplementary!R26,1)="Y","TRUE","")</f>
        <v/>
      </c>
      <c r="AA43" s="443" t="str">
        <f>IF(LEFT(Supplementary!W26,1)="Y","TRUE","")</f>
        <v/>
      </c>
      <c r="AB43" s="443" t="str">
        <f>IF(LEFT(Supplementary!V26,1)="Y","TRUE","")</f>
        <v/>
      </c>
      <c r="AC43" s="443" t="str">
        <f>IF(Supplementary!X26="A","TRUE","")</f>
        <v/>
      </c>
      <c r="AD43" s="443" t="str">
        <f>IF(Supplementary!X26="B","TRUE","")</f>
        <v/>
      </c>
      <c r="AE43" s="443" t="str">
        <f>IF(Supplementary!Y26="A","TRUE","")</f>
        <v/>
      </c>
      <c r="AF43" s="443" t="str">
        <f>IF(Supplementary!Y26="B","TRUE","")</f>
        <v/>
      </c>
      <c r="AG43" s="443" t="str">
        <f>IF(Supplementary!Y26="X","TRUE","")</f>
        <v/>
      </c>
      <c r="AH43" s="443" t="str">
        <f>IF(LEN(Supplementary!M26)&gt;1,Supplementary!M26,"")</f>
        <v/>
      </c>
      <c r="AI43" s="443" t="str">
        <f>IF(LEN(Supplementary!N26)&gt;1,Supplementary!N26,"")</f>
        <v/>
      </c>
      <c r="AJ43" s="443" t="str">
        <f>IF(LEN(Supplementary!O26)&gt;1,Supplementary!O26,"")</f>
        <v/>
      </c>
      <c r="AK43" s="443" t="str">
        <f>IF(LEN(Supplementary!P26)&gt;1,Supplementary!P26,"")</f>
        <v/>
      </c>
      <c r="AL43" s="443" t="str">
        <f>IF(LEN(Supplementary!Q26)&gt;1,Supplementary!Q26,"")</f>
        <v/>
      </c>
      <c r="AM43" s="443" t="str">
        <f>IF(LEN(Supplementary!R26)&gt;1,Supplementary!R26,"")</f>
        <v/>
      </c>
      <c r="AN43" s="443" t="str">
        <f>IF(LEN(Supplementary!T26)&gt;1,Supplementary!T26,"")</f>
        <v/>
      </c>
      <c r="AO43" s="443" t="str">
        <f>IF(LEN(Supplementary!V26)&gt;1,Supplementary!V26,"")</f>
        <v/>
      </c>
      <c r="AP43" s="443" t="str">
        <f>IF(COUNTBLANK(Supplementary!$C26:$D26)&lt;2,Supplementary!AP26,"")</f>
        <v/>
      </c>
    </row>
    <row r="44" spans="1:45" ht="13.5" x14ac:dyDescent="0.25">
      <c r="A44" s="443" t="str">
        <f>IF(COUNTBLANK(Supplementary!$C27:$D27)&lt;2,Supplementary!B27,"")</f>
        <v/>
      </c>
      <c r="B44" s="444" t="str">
        <f>IF(COUNTBLANK(Supplementary!$C27:$D27)&lt;2,'Team Data'!A$2,"")</f>
        <v/>
      </c>
      <c r="C44" s="444" t="str">
        <f>IF(COUNTBLANK(Supplementary!$C27:$D27)&lt;2,'Team Data'!C12,"")</f>
        <v/>
      </c>
      <c r="D44" s="444"/>
      <c r="E44" s="444" t="str">
        <f>IF(COUNTBLANK(Supplementary!$C27:$D27)&lt;2,TRIM(PROPER(Supplementary!C27)),"")</f>
        <v/>
      </c>
      <c r="F44" s="444" t="str">
        <f>IF(COUNTBLANK(Supplementary!$C27:$D27)&lt;2,TRIM(PROPER(Supplementary!D27)),"")</f>
        <v/>
      </c>
      <c r="G44" s="443" t="str">
        <f>IF(COUNTBLANK(Supplementary!$C27:$D27)&lt;2,Supplementary!G27,"")</f>
        <v/>
      </c>
      <c r="H44" s="443" t="str">
        <f>IF(COUNTBLANK(Supplementary!$C27:$D27)&lt;2,Supplementary!H27,"")</f>
        <v/>
      </c>
      <c r="I44" s="443" t="str">
        <f>IF(COUNTBLANK(Supplementary!$C27:$D27)&lt;2,Supplementary!J27,"")</f>
        <v/>
      </c>
      <c r="J44" s="443" t="str">
        <f>IF(COUNTBLANK(Supplementary!$C27:$D27)&lt;2,Supplementary!F27,"")</f>
        <v/>
      </c>
      <c r="K44" s="443" t="str">
        <f>""</f>
        <v/>
      </c>
      <c r="L44" s="443" t="str">
        <f>IF(COUNTBLANK(Supplementary!$C27:$D27)&lt;2,IF(COUNTBLANK(Supplementary!$C27:$D27)&lt;2,IF(Supplementary!L27="X","X","")),"")</f>
        <v/>
      </c>
      <c r="M44" s="443" t="str">
        <f>IF(COUNTBLANK(Supplementary!$C27:$D27)&lt;2,IF(COUNTBLANK(Supplementary!$C27:$D27)&lt;2,IF(Supplementary!L27="N","N","")),"")</f>
        <v/>
      </c>
      <c r="N44" s="445" t="str">
        <f>IF(COUNTBLANK(Supplementary!$C27:$D27)&lt;2,IF(Supplementary!E27=0,0,Supplementary!E27),"")</f>
        <v/>
      </c>
      <c r="O44" s="444" t="str">
        <f>IF(COUNTBLANK(Supplementary!C27)=0,INT(Supplementary!AE27),"")</f>
        <v/>
      </c>
      <c r="P44" s="443" t="str">
        <f>IF(COUNTBLANK(Supplementary!C27)=1,"",IF(O44&lt;14,"J","S"))</f>
        <v/>
      </c>
      <c r="Q44" s="443" t="str">
        <f>IF(Supplementary!C27="","",IF(L44="X","K",IF(M44="N","PKEF","TRUE")))</f>
        <v/>
      </c>
      <c r="R44" s="443" t="str">
        <f>IF(LEFT(Supplementary!M27,1)="Y","TRUE","")</f>
        <v/>
      </c>
      <c r="S44" s="443" t="str">
        <f>IF(LEFT(Supplementary!N27,1)="Y","TRUE","")</f>
        <v/>
      </c>
      <c r="T44" s="443" t="str">
        <f>IF(LEFT(Supplementary!O27,1)="Y","TRUE","")</f>
        <v/>
      </c>
      <c r="U44" s="443" t="str">
        <f>IF(LEFT(Supplementary!P27,1)="Y","TRUE","")</f>
        <v/>
      </c>
      <c r="V44" s="443" t="str">
        <f>IF(LEFT(Supplementary!Q27,1)="Y","TRUE","")</f>
        <v/>
      </c>
      <c r="W44" s="443" t="str">
        <f>IF(Supplementary!S27="Open","TRUE","")</f>
        <v/>
      </c>
      <c r="X44" s="443" t="str">
        <f>IF(Supplementary!S27="Sporter","TRUE","")</f>
        <v/>
      </c>
      <c r="Y44" s="443" t="str">
        <f>IF(COUNTBLANK(W44:X44)=1,TRIM(PROPER(Supplementary!U27)),"")</f>
        <v/>
      </c>
      <c r="Z44" s="443" t="str">
        <f>IF(LEFT(Supplementary!R27,1)="Y","TRUE","")</f>
        <v/>
      </c>
      <c r="AA44" s="443" t="str">
        <f>IF(LEFT(Supplementary!W27,1)="Y","TRUE","")</f>
        <v/>
      </c>
      <c r="AB44" s="443" t="str">
        <f>IF(LEFT(Supplementary!V27,1)="Y","TRUE","")</f>
        <v/>
      </c>
      <c r="AC44" s="443" t="str">
        <f>IF(Supplementary!X27="A","TRUE","")</f>
        <v/>
      </c>
      <c r="AD44" s="443" t="str">
        <f>IF(Supplementary!X27="B","TRUE","")</f>
        <v/>
      </c>
      <c r="AE44" s="443" t="str">
        <f>IF(Supplementary!Y27="A","TRUE","")</f>
        <v/>
      </c>
      <c r="AF44" s="443" t="str">
        <f>IF(Supplementary!Y27="B","TRUE","")</f>
        <v/>
      </c>
      <c r="AG44" s="443" t="str">
        <f>IF(Supplementary!Y27="X","TRUE","")</f>
        <v/>
      </c>
      <c r="AH44" s="443" t="str">
        <f>IF(LEN(Supplementary!M27)&gt;1,Supplementary!M27,"")</f>
        <v/>
      </c>
      <c r="AI44" s="443" t="str">
        <f>IF(LEN(Supplementary!N27)&gt;1,Supplementary!N27,"")</f>
        <v/>
      </c>
      <c r="AJ44" s="443" t="str">
        <f>IF(LEN(Supplementary!O27)&gt;1,Supplementary!O27,"")</f>
        <v/>
      </c>
      <c r="AK44" s="443" t="str">
        <f>IF(LEN(Supplementary!P27)&gt;1,Supplementary!P27,"")</f>
        <v/>
      </c>
      <c r="AL44" s="443" t="str">
        <f>IF(LEN(Supplementary!Q27)&gt;1,Supplementary!Q27,"")</f>
        <v/>
      </c>
      <c r="AM44" s="443" t="str">
        <f>IF(LEN(Supplementary!R27)&gt;1,Supplementary!R27,"")</f>
        <v/>
      </c>
      <c r="AN44" s="443" t="str">
        <f>IF(LEN(Supplementary!T27)&gt;1,Supplementary!T27,"")</f>
        <v/>
      </c>
      <c r="AO44" s="443" t="str">
        <f>IF(LEN(Supplementary!V27)&gt;1,Supplementary!V27,"")</f>
        <v/>
      </c>
      <c r="AP44" s="443" t="str">
        <f>IF(COUNTBLANK(Supplementary!$C27:$D27)&lt;2,Supplementary!AP27,"")</f>
        <v/>
      </c>
    </row>
    <row r="45" spans="1:45" ht="13.5" x14ac:dyDescent="0.25">
      <c r="A45" s="443" t="str">
        <f>IF(COUNTBLANK(Supplementary!$C28:$D28)&lt;2,Supplementary!B28,"")</f>
        <v/>
      </c>
      <c r="B45" s="444" t="str">
        <f>IF(COUNTBLANK(Supplementary!$C28:$D28)&lt;2,'Team Data'!A$2,"")</f>
        <v/>
      </c>
      <c r="C45" s="444" t="str">
        <f>IF(COUNTBLANK(Supplementary!$C28:$D28)&lt;2,'Team Data'!C13,"")</f>
        <v/>
      </c>
      <c r="D45" s="444"/>
      <c r="E45" s="444" t="str">
        <f>IF(COUNTBLANK(Supplementary!$C28:$D28)&lt;2,TRIM(PROPER(Supplementary!C28)),"")</f>
        <v/>
      </c>
      <c r="F45" s="444" t="str">
        <f>IF(COUNTBLANK(Supplementary!$C28:$D28)&lt;2,TRIM(PROPER(Supplementary!D28)),"")</f>
        <v/>
      </c>
      <c r="G45" s="443" t="str">
        <f>IF(COUNTBLANK(Supplementary!$C28:$D28)&lt;2,Supplementary!G28,"")</f>
        <v/>
      </c>
      <c r="H45" s="443" t="str">
        <f>IF(COUNTBLANK(Supplementary!$C28:$D28)&lt;2,Supplementary!H28,"")</f>
        <v/>
      </c>
      <c r="I45" s="443" t="str">
        <f>IF(COUNTBLANK(Supplementary!$C28:$D28)&lt;2,Supplementary!J28,"")</f>
        <v/>
      </c>
      <c r="J45" s="443" t="str">
        <f>IF(COUNTBLANK(Supplementary!$C28:$D28)&lt;2,Supplementary!F28,"")</f>
        <v/>
      </c>
      <c r="K45" s="443" t="str">
        <f>""</f>
        <v/>
      </c>
      <c r="L45" s="443" t="str">
        <f>IF(COUNTBLANK(Supplementary!$C28:$D28)&lt;2,IF(COUNTBLANK(Supplementary!$C28:$D28)&lt;2,IF(Supplementary!L28="X","X","")),"")</f>
        <v/>
      </c>
      <c r="M45" s="443" t="str">
        <f>IF(COUNTBLANK(Supplementary!$C28:$D28)&lt;2,IF(COUNTBLANK(Supplementary!$C28:$D28)&lt;2,IF(Supplementary!L28="N","N","")),"")</f>
        <v/>
      </c>
      <c r="N45" s="445" t="str">
        <f>IF(COUNTBLANK(Supplementary!$C28:$D28)&lt;2,IF(Supplementary!E28=0,0,Supplementary!E28),"")</f>
        <v/>
      </c>
      <c r="O45" s="444" t="str">
        <f>IF(COUNTBLANK(Supplementary!C28)=0,INT(Supplementary!AE28),"")</f>
        <v/>
      </c>
      <c r="P45" s="443" t="str">
        <f>IF(COUNTBLANK(Supplementary!C28)=1,"",IF(O45&lt;14,"J","S"))</f>
        <v/>
      </c>
      <c r="Q45" s="443" t="str">
        <f>IF(Supplementary!C28="","",IF(L45="X","K",IF(M45="N","PKEF","TRUE")))</f>
        <v/>
      </c>
      <c r="R45" s="443" t="str">
        <f>IF(LEFT(Supplementary!M28,1)="Y","TRUE","")</f>
        <v/>
      </c>
      <c r="S45" s="443" t="str">
        <f>IF(LEFT(Supplementary!N28,1)="Y","TRUE","")</f>
        <v/>
      </c>
      <c r="T45" s="443" t="str">
        <f>IF(LEFT(Supplementary!O28,1)="Y","TRUE","")</f>
        <v/>
      </c>
      <c r="U45" s="443" t="str">
        <f>IF(LEFT(Supplementary!P28,1)="Y","TRUE","")</f>
        <v/>
      </c>
      <c r="V45" s="443" t="str">
        <f>IF(LEFT(Supplementary!Q28,1)="Y","TRUE","")</f>
        <v/>
      </c>
      <c r="W45" s="443" t="str">
        <f>IF(Supplementary!S28="Open","TRUE","")</f>
        <v/>
      </c>
      <c r="X45" s="443" t="str">
        <f>IF(Supplementary!S28="Sporter","TRUE","")</f>
        <v/>
      </c>
      <c r="Y45" s="443" t="str">
        <f>IF(COUNTBLANK(W45:X45)=1,TRIM(PROPER(Supplementary!U28)),"")</f>
        <v/>
      </c>
      <c r="Z45" s="443" t="str">
        <f>IF(LEFT(Supplementary!R28,1)="Y","TRUE","")</f>
        <v/>
      </c>
      <c r="AA45" s="443" t="str">
        <f>IF(LEFT(Supplementary!W28,1)="Y","TRUE","")</f>
        <v/>
      </c>
      <c r="AB45" s="443" t="str">
        <f>IF(LEFT(Supplementary!V28,1)="Y","TRUE","")</f>
        <v/>
      </c>
      <c r="AC45" s="443" t="str">
        <f>IF(Supplementary!X28="A","TRUE","")</f>
        <v/>
      </c>
      <c r="AD45" s="443" t="str">
        <f>IF(Supplementary!X28="B","TRUE","")</f>
        <v/>
      </c>
      <c r="AE45" s="443" t="str">
        <f>IF(Supplementary!Y28="A","TRUE","")</f>
        <v/>
      </c>
      <c r="AF45" s="443" t="str">
        <f>IF(Supplementary!Y28="B","TRUE","")</f>
        <v/>
      </c>
      <c r="AG45" s="443" t="str">
        <f>IF(Supplementary!Y28="X","TRUE","")</f>
        <v/>
      </c>
      <c r="AH45" s="443" t="str">
        <f>IF(LEN(Supplementary!M28)&gt;1,Supplementary!M28,"")</f>
        <v/>
      </c>
      <c r="AI45" s="443" t="str">
        <f>IF(LEN(Supplementary!N28)&gt;1,Supplementary!N28,"")</f>
        <v/>
      </c>
      <c r="AJ45" s="443" t="str">
        <f>IF(LEN(Supplementary!O28)&gt;1,Supplementary!O28,"")</f>
        <v/>
      </c>
      <c r="AK45" s="443" t="str">
        <f>IF(LEN(Supplementary!P28)&gt;1,Supplementary!P28,"")</f>
        <v/>
      </c>
      <c r="AL45" s="443" t="str">
        <f>IF(LEN(Supplementary!Q28)&gt;1,Supplementary!Q28,"")</f>
        <v/>
      </c>
      <c r="AM45" s="443" t="str">
        <f>IF(LEN(Supplementary!R28)&gt;1,Supplementary!R28,"")</f>
        <v/>
      </c>
      <c r="AN45" s="443" t="str">
        <f>IF(LEN(Supplementary!T28)&gt;1,Supplementary!T28,"")</f>
        <v/>
      </c>
      <c r="AO45" s="443" t="str">
        <f>IF(LEN(Supplementary!V28)&gt;1,Supplementary!V28,"")</f>
        <v/>
      </c>
      <c r="AP45" s="443" t="str">
        <f>IF(COUNTBLANK(Supplementary!$C28:$D28)&lt;2,Supplementary!AP28,"")</f>
        <v/>
      </c>
    </row>
    <row r="46" spans="1:45" ht="13.5" x14ac:dyDescent="0.25">
      <c r="A46" s="443" t="str">
        <f>IF(COUNTBLANK(Supplementary!$C29:$D29)&lt;2,Supplementary!B29,"")</f>
        <v/>
      </c>
      <c r="B46" s="444" t="str">
        <f>IF(COUNTBLANK(Supplementary!$C29:$D29)&lt;2,'Team Data'!A$2,"")</f>
        <v/>
      </c>
      <c r="C46" s="444" t="str">
        <f>IF(COUNTBLANK(Supplementary!$C29:$D29)&lt;2,'Team Data'!C14,"")</f>
        <v/>
      </c>
      <c r="D46" s="444"/>
      <c r="E46" s="444" t="str">
        <f>IF(COUNTBLANK(Supplementary!$C29:$D29)&lt;2,TRIM(PROPER(Supplementary!C29)),"")</f>
        <v/>
      </c>
      <c r="F46" s="444" t="str">
        <f>IF(COUNTBLANK(Supplementary!$C29:$D29)&lt;2,TRIM(PROPER(Supplementary!D29)),"")</f>
        <v/>
      </c>
      <c r="G46" s="443" t="str">
        <f>IF(COUNTBLANK(Supplementary!$C29:$D29)&lt;2,Supplementary!G29,"")</f>
        <v/>
      </c>
      <c r="H46" s="443" t="str">
        <f>IF(COUNTBLANK(Supplementary!$C29:$D29)&lt;2,Supplementary!H29,"")</f>
        <v/>
      </c>
      <c r="I46" s="443" t="str">
        <f>IF(COUNTBLANK(Supplementary!$C29:$D29)&lt;2,Supplementary!J29,"")</f>
        <v/>
      </c>
      <c r="J46" s="443" t="str">
        <f>IF(COUNTBLANK(Supplementary!$C29:$D29)&lt;2,Supplementary!F29,"")</f>
        <v/>
      </c>
      <c r="K46" s="443" t="str">
        <f>""</f>
        <v/>
      </c>
      <c r="L46" s="443" t="str">
        <f>IF(COUNTBLANK(Supplementary!$C29:$D29)&lt;2,IF(COUNTBLANK(Supplementary!$C29:$D29)&lt;2,IF(Supplementary!L29="X","X","")),"")</f>
        <v/>
      </c>
      <c r="M46" s="443" t="str">
        <f>IF(COUNTBLANK(Supplementary!$C29:$D29)&lt;2,IF(COUNTBLANK(Supplementary!$C29:$D29)&lt;2,IF(Supplementary!L29="N","N","")),"")</f>
        <v/>
      </c>
      <c r="N46" s="445" t="str">
        <f>IF(COUNTBLANK(Supplementary!$C29:$D29)&lt;2,IF(Supplementary!E29=0,0,Supplementary!E29),"")</f>
        <v/>
      </c>
      <c r="O46" s="444" t="str">
        <f>IF(COUNTBLANK(Supplementary!C29)=0,INT(Supplementary!AE29),"")</f>
        <v/>
      </c>
      <c r="P46" s="443" t="str">
        <f>IF(COUNTBLANK(Supplementary!C29)=1,"",IF(O46&lt;14,"J","S"))</f>
        <v/>
      </c>
      <c r="Q46" s="443" t="str">
        <f>IF(Supplementary!C29="","",IF(L46="X","K",IF(M46="N","PKEF","TRUE")))</f>
        <v/>
      </c>
      <c r="R46" s="443" t="str">
        <f>IF(LEFT(Supplementary!M29,1)="Y","TRUE","")</f>
        <v/>
      </c>
      <c r="S46" s="443" t="str">
        <f>IF(LEFT(Supplementary!N29,1)="Y","TRUE","")</f>
        <v/>
      </c>
      <c r="T46" s="443" t="str">
        <f>IF(LEFT(Supplementary!O29,1)="Y","TRUE","")</f>
        <v/>
      </c>
      <c r="U46" s="443" t="str">
        <f>IF(LEFT(Supplementary!P29,1)="Y","TRUE","")</f>
        <v/>
      </c>
      <c r="V46" s="443" t="str">
        <f>IF(LEFT(Supplementary!Q29,1)="Y","TRUE","")</f>
        <v/>
      </c>
      <c r="W46" s="443" t="str">
        <f>IF(Supplementary!S29="Open","TRUE","")</f>
        <v/>
      </c>
      <c r="X46" s="443" t="str">
        <f>IF(Supplementary!S29="Sporter","TRUE","")</f>
        <v/>
      </c>
      <c r="Y46" s="443" t="str">
        <f>IF(COUNTBLANK(W46:X46)=1,TRIM(PROPER(Supplementary!U29)),"")</f>
        <v/>
      </c>
      <c r="Z46" s="443" t="str">
        <f>IF(LEFT(Supplementary!R29,1)="Y","TRUE","")</f>
        <v/>
      </c>
      <c r="AA46" s="443" t="str">
        <f>IF(LEFT(Supplementary!W29,1)="Y","TRUE","")</f>
        <v/>
      </c>
      <c r="AB46" s="443" t="str">
        <f>IF(LEFT(Supplementary!V29,1)="Y","TRUE","")</f>
        <v/>
      </c>
      <c r="AC46" s="443" t="str">
        <f>IF(Supplementary!X29="A","TRUE","")</f>
        <v/>
      </c>
      <c r="AD46" s="443" t="str">
        <f>IF(Supplementary!X29="B","TRUE","")</f>
        <v/>
      </c>
      <c r="AE46" s="443" t="str">
        <f>IF(Supplementary!Y29="A","TRUE","")</f>
        <v/>
      </c>
      <c r="AF46" s="443" t="str">
        <f>IF(Supplementary!Y29="B","TRUE","")</f>
        <v/>
      </c>
      <c r="AG46" s="443" t="str">
        <f>IF(Supplementary!Y29="X","TRUE","")</f>
        <v/>
      </c>
      <c r="AH46" s="443" t="str">
        <f>IF(LEN(Supplementary!M29)&gt;1,Supplementary!M29,"")</f>
        <v/>
      </c>
      <c r="AI46" s="443" t="str">
        <f>IF(LEN(Supplementary!N29)&gt;1,Supplementary!N29,"")</f>
        <v/>
      </c>
      <c r="AJ46" s="443" t="str">
        <f>IF(LEN(Supplementary!O29)&gt;1,Supplementary!O29,"")</f>
        <v/>
      </c>
      <c r="AK46" s="443" t="str">
        <f>IF(LEN(Supplementary!P29)&gt;1,Supplementary!P29,"")</f>
        <v/>
      </c>
      <c r="AL46" s="443" t="str">
        <f>IF(LEN(Supplementary!Q29)&gt;1,Supplementary!Q29,"")</f>
        <v/>
      </c>
      <c r="AM46" s="443" t="str">
        <f>IF(LEN(Supplementary!R29)&gt;1,Supplementary!R29,"")</f>
        <v/>
      </c>
      <c r="AN46" s="443" t="str">
        <f>IF(LEN(Supplementary!T29)&gt;1,Supplementary!T29,"")</f>
        <v/>
      </c>
      <c r="AO46" s="443" t="str">
        <f>IF(LEN(Supplementary!V29)&gt;1,Supplementary!V29,"")</f>
        <v/>
      </c>
      <c r="AP46" s="443" t="str">
        <f>IF(COUNTBLANK(Supplementary!$C29:$D29)&lt;2,Supplementary!AP29,"")</f>
        <v/>
      </c>
    </row>
    <row r="47" spans="1:45" ht="13.5" x14ac:dyDescent="0.25">
      <c r="A47" s="443" t="str">
        <f>IF(COUNTBLANK(Supplementary!$C30:$D30)&lt;2,Supplementary!B30,"")</f>
        <v/>
      </c>
      <c r="B47" s="444" t="str">
        <f>IF(COUNTBLANK(Supplementary!$C30:$D30)&lt;2,'Team Data'!A$2,"")</f>
        <v/>
      </c>
      <c r="C47" s="444" t="str">
        <f>IF(COUNTBLANK(Supplementary!$C30:$D30)&lt;2,'Team Data'!C15,"")</f>
        <v/>
      </c>
      <c r="D47" s="444"/>
      <c r="E47" s="444" t="str">
        <f>IF(COUNTBLANK(Supplementary!$C30:$D30)&lt;2,TRIM(PROPER(Supplementary!C30)),"")</f>
        <v/>
      </c>
      <c r="F47" s="444" t="str">
        <f>IF(COUNTBLANK(Supplementary!$C30:$D30)&lt;2,TRIM(PROPER(Supplementary!D30)),"")</f>
        <v/>
      </c>
      <c r="G47" s="443" t="str">
        <f>IF(COUNTBLANK(Supplementary!$C30:$D30)&lt;2,Supplementary!G30,"")</f>
        <v/>
      </c>
      <c r="H47" s="443" t="str">
        <f>IF(COUNTBLANK(Supplementary!$C30:$D30)&lt;2,Supplementary!H30,"")</f>
        <v/>
      </c>
      <c r="I47" s="443" t="str">
        <f>IF(COUNTBLANK(Supplementary!$C30:$D30)&lt;2,Supplementary!J30,"")</f>
        <v/>
      </c>
      <c r="J47" s="443" t="str">
        <f>IF(COUNTBLANK(Supplementary!$C30:$D30)&lt;2,Supplementary!F30,"")</f>
        <v/>
      </c>
      <c r="K47" s="443" t="str">
        <f>""</f>
        <v/>
      </c>
      <c r="L47" s="443" t="str">
        <f>IF(COUNTBLANK(Supplementary!$C30:$D30)&lt;2,IF(COUNTBLANK(Supplementary!$C30:$D30)&lt;2,IF(Supplementary!L30="X","X","")),"")</f>
        <v/>
      </c>
      <c r="M47" s="443" t="str">
        <f>IF(COUNTBLANK(Supplementary!$C30:$D30)&lt;2,IF(COUNTBLANK(Supplementary!$C30:$D30)&lt;2,IF(Supplementary!L30="N","N","")),"")</f>
        <v/>
      </c>
      <c r="N47" s="445" t="str">
        <f>IF(COUNTBLANK(Supplementary!$C30:$D30)&lt;2,IF(Supplementary!E30=0,0,Supplementary!E30),"")</f>
        <v/>
      </c>
      <c r="O47" s="444" t="str">
        <f>IF(COUNTBLANK(Supplementary!C30)=0,INT(Supplementary!AE30),"")</f>
        <v/>
      </c>
      <c r="P47" s="443" t="str">
        <f>IF(COUNTBLANK(Supplementary!C30)=1,"",IF(O47&lt;14,"J","S"))</f>
        <v/>
      </c>
      <c r="Q47" s="443" t="str">
        <f>IF(Supplementary!C30="","",IF(L47="X","K",IF(M47="N","PKEF","TRUE")))</f>
        <v/>
      </c>
      <c r="R47" s="443" t="str">
        <f>IF(LEFT(Supplementary!M30,1)="Y","TRUE","")</f>
        <v/>
      </c>
      <c r="S47" s="443" t="str">
        <f>IF(LEFT(Supplementary!N30,1)="Y","TRUE","")</f>
        <v/>
      </c>
      <c r="T47" s="443" t="str">
        <f>IF(LEFT(Supplementary!O30,1)="Y","TRUE","")</f>
        <v/>
      </c>
      <c r="U47" s="443" t="str">
        <f>IF(LEFT(Supplementary!P30,1)="Y","TRUE","")</f>
        <v/>
      </c>
      <c r="V47" s="443" t="str">
        <f>IF(LEFT(Supplementary!Q30,1)="Y","TRUE","")</f>
        <v/>
      </c>
      <c r="W47" s="443" t="str">
        <f>IF(Supplementary!S30="Open","TRUE","")</f>
        <v/>
      </c>
      <c r="X47" s="443" t="str">
        <f>IF(Supplementary!S30="Sporter","TRUE","")</f>
        <v/>
      </c>
      <c r="Y47" s="443" t="str">
        <f>IF(COUNTBLANK(W47:X47)=1,TRIM(PROPER(Supplementary!U30)),"")</f>
        <v/>
      </c>
      <c r="Z47" s="443" t="str">
        <f>IF(LEFT(Supplementary!R30,1)="Y","TRUE","")</f>
        <v/>
      </c>
      <c r="AA47" s="443" t="str">
        <f>IF(LEFT(Supplementary!W30,1)="Y","TRUE","")</f>
        <v/>
      </c>
      <c r="AB47" s="443" t="str">
        <f>IF(LEFT(Supplementary!V30,1)="Y","TRUE","")</f>
        <v/>
      </c>
      <c r="AC47" s="443" t="str">
        <f>IF(Supplementary!X30="A","TRUE","")</f>
        <v/>
      </c>
      <c r="AD47" s="443" t="str">
        <f>IF(Supplementary!X30="B","TRUE","")</f>
        <v/>
      </c>
      <c r="AE47" s="443" t="str">
        <f>IF(Supplementary!Y30="A","TRUE","")</f>
        <v/>
      </c>
      <c r="AF47" s="443" t="str">
        <f>IF(Supplementary!Y30="B","TRUE","")</f>
        <v/>
      </c>
      <c r="AG47" s="443" t="str">
        <f>IF(Supplementary!Y30="X","TRUE","")</f>
        <v/>
      </c>
      <c r="AH47" s="443" t="str">
        <f>IF(LEN(Supplementary!M30)&gt;1,Supplementary!M30,"")</f>
        <v/>
      </c>
      <c r="AI47" s="443" t="str">
        <f>IF(LEN(Supplementary!N30)&gt;1,Supplementary!N30,"")</f>
        <v/>
      </c>
      <c r="AJ47" s="443" t="str">
        <f>IF(LEN(Supplementary!O30)&gt;1,Supplementary!O30,"")</f>
        <v/>
      </c>
      <c r="AK47" s="443" t="str">
        <f>IF(LEN(Supplementary!P30)&gt;1,Supplementary!P30,"")</f>
        <v/>
      </c>
      <c r="AL47" s="443" t="str">
        <f>IF(LEN(Supplementary!Q30)&gt;1,Supplementary!Q30,"")</f>
        <v/>
      </c>
      <c r="AM47" s="443" t="str">
        <f>IF(LEN(Supplementary!R30)&gt;1,Supplementary!R30,"")</f>
        <v/>
      </c>
      <c r="AN47" s="443" t="str">
        <f>IF(LEN(Supplementary!T30)&gt;1,Supplementary!T30,"")</f>
        <v/>
      </c>
      <c r="AO47" s="443" t="str">
        <f>IF(LEN(Supplementary!V30)&gt;1,Supplementary!V30,"")</f>
        <v/>
      </c>
      <c r="AP47" s="443" t="str">
        <f>IF(COUNTBLANK(Supplementary!$C30:$D30)&lt;2,Supplementary!AP30,"")</f>
        <v/>
      </c>
    </row>
    <row r="48" spans="1:45" ht="13.5" x14ac:dyDescent="0.25">
      <c r="A48" s="443" t="str">
        <f>IF(COUNTBLANK(Supplementary!$C31:$D31)&lt;2,Supplementary!B31,"")</f>
        <v/>
      </c>
      <c r="B48" s="444" t="str">
        <f>IF(COUNTBLANK(Supplementary!$C31:$D31)&lt;2,'Team Data'!A$2,"")</f>
        <v/>
      </c>
      <c r="C48" s="444" t="str">
        <f>IF(COUNTBLANK(Supplementary!$C31:$D31)&lt;2,'Team Data'!C16,"")</f>
        <v/>
      </c>
      <c r="D48" s="444"/>
      <c r="E48" s="444" t="str">
        <f>IF(COUNTBLANK(Supplementary!$C31:$D31)&lt;2,TRIM(PROPER(Supplementary!C31)),"")</f>
        <v/>
      </c>
      <c r="F48" s="444" t="str">
        <f>IF(COUNTBLANK(Supplementary!$C31:$D31)&lt;2,TRIM(PROPER(Supplementary!D31)),"")</f>
        <v/>
      </c>
      <c r="G48" s="443" t="str">
        <f>IF(COUNTBLANK(Supplementary!$C31:$D31)&lt;2,Supplementary!G31,"")</f>
        <v/>
      </c>
      <c r="H48" s="443" t="str">
        <f>IF(COUNTBLANK(Supplementary!$C31:$D31)&lt;2,Supplementary!H31,"")</f>
        <v/>
      </c>
      <c r="I48" s="443" t="str">
        <f>IF(COUNTBLANK(Supplementary!$C31:$D31)&lt;2,Supplementary!J31,"")</f>
        <v/>
      </c>
      <c r="J48" s="443" t="str">
        <f>IF(COUNTBLANK(Supplementary!$C31:$D31)&lt;2,Supplementary!F31,"")</f>
        <v/>
      </c>
      <c r="K48" s="443" t="str">
        <f>""</f>
        <v/>
      </c>
      <c r="L48" s="443" t="str">
        <f>IF(COUNTBLANK(Supplementary!$C31:$D31)&lt;2,IF(COUNTBLANK(Supplementary!$C31:$D31)&lt;2,IF(Supplementary!L31="X","X","")),"")</f>
        <v/>
      </c>
      <c r="M48" s="443" t="str">
        <f>IF(COUNTBLANK(Supplementary!$C31:$D31)&lt;2,IF(COUNTBLANK(Supplementary!$C31:$D31)&lt;2,IF(Supplementary!L31="N","N","")),"")</f>
        <v/>
      </c>
      <c r="N48" s="445" t="str">
        <f>IF(COUNTBLANK(Supplementary!$C31:$D31)&lt;2,IF(Supplementary!E31=0,0,Supplementary!E31),"")</f>
        <v/>
      </c>
      <c r="O48" s="444" t="str">
        <f>IF(COUNTBLANK(Supplementary!C31)=0,INT(Supplementary!AE31),"")</f>
        <v/>
      </c>
      <c r="P48" s="443" t="str">
        <f>IF(COUNTBLANK(Supplementary!C31)=1,"",IF(O48&lt;14,"J","S"))</f>
        <v/>
      </c>
      <c r="Q48" s="443" t="str">
        <f>IF(Supplementary!C31="","",IF(L48="X","K",IF(M48="N","PKEF","TRUE")))</f>
        <v/>
      </c>
      <c r="R48" s="443" t="str">
        <f>IF(LEFT(Supplementary!M31,1)="Y","TRUE","")</f>
        <v/>
      </c>
      <c r="S48" s="443" t="str">
        <f>IF(LEFT(Supplementary!N31,1)="Y","TRUE","")</f>
        <v/>
      </c>
      <c r="T48" s="443" t="str">
        <f>IF(LEFT(Supplementary!O31,1)="Y","TRUE","")</f>
        <v/>
      </c>
      <c r="U48" s="443" t="str">
        <f>IF(LEFT(Supplementary!P31,1)="Y","TRUE","")</f>
        <v/>
      </c>
      <c r="V48" s="443" t="str">
        <f>IF(LEFT(Supplementary!Q31,1)="Y","TRUE","")</f>
        <v/>
      </c>
      <c r="W48" s="443" t="str">
        <f>IF(Supplementary!S31="Open","TRUE","")</f>
        <v/>
      </c>
      <c r="X48" s="443" t="str">
        <f>IF(Supplementary!S31="Sporter","TRUE","")</f>
        <v/>
      </c>
      <c r="Y48" s="443" t="str">
        <f>IF(COUNTBLANK(W48:X48)=1,TRIM(PROPER(Supplementary!U31)),"")</f>
        <v/>
      </c>
      <c r="Z48" s="443" t="str">
        <f>IF(LEFT(Supplementary!R31,1)="Y","TRUE","")</f>
        <v/>
      </c>
      <c r="AA48" s="443" t="str">
        <f>IF(LEFT(Supplementary!W31,1)="Y","TRUE","")</f>
        <v/>
      </c>
      <c r="AB48" s="443" t="str">
        <f>IF(LEFT(Supplementary!V31,1)="Y","TRUE","")</f>
        <v/>
      </c>
      <c r="AC48" s="443" t="str">
        <f>IF(Supplementary!X31="A","TRUE","")</f>
        <v/>
      </c>
      <c r="AD48" s="443" t="str">
        <f>IF(Supplementary!X31="B","TRUE","")</f>
        <v/>
      </c>
      <c r="AE48" s="443" t="str">
        <f>IF(Supplementary!Y31="A","TRUE","")</f>
        <v/>
      </c>
      <c r="AF48" s="443" t="str">
        <f>IF(Supplementary!Y31="B","TRUE","")</f>
        <v/>
      </c>
      <c r="AG48" s="443" t="str">
        <f>IF(Supplementary!Y31="X","TRUE","")</f>
        <v/>
      </c>
      <c r="AH48" s="443" t="str">
        <f>IF(LEN(Supplementary!M31)&gt;1,Supplementary!M31,"")</f>
        <v/>
      </c>
      <c r="AI48" s="443" t="str">
        <f>IF(LEN(Supplementary!N31)&gt;1,Supplementary!N31,"")</f>
        <v/>
      </c>
      <c r="AJ48" s="443" t="str">
        <f>IF(LEN(Supplementary!O31)&gt;1,Supplementary!O31,"")</f>
        <v/>
      </c>
      <c r="AK48" s="443" t="str">
        <f>IF(LEN(Supplementary!P31)&gt;1,Supplementary!P31,"")</f>
        <v/>
      </c>
      <c r="AL48" s="443" t="str">
        <f>IF(LEN(Supplementary!Q31)&gt;1,Supplementary!Q31,"")</f>
        <v/>
      </c>
      <c r="AM48" s="443" t="str">
        <f>IF(LEN(Supplementary!R31)&gt;1,Supplementary!R31,"")</f>
        <v/>
      </c>
      <c r="AN48" s="443" t="str">
        <f>IF(LEN(Supplementary!T31)&gt;1,Supplementary!T31,"")</f>
        <v/>
      </c>
      <c r="AO48" s="443" t="str">
        <f>IF(LEN(Supplementary!V31)&gt;1,Supplementary!V31,"")</f>
        <v/>
      </c>
      <c r="AP48" s="443" t="str">
        <f>IF(COUNTBLANK(Supplementary!$C31:$D31)&lt;2,Supplementary!AP31,"")</f>
        <v/>
      </c>
    </row>
    <row r="49" spans="1:42" ht="13.5" x14ac:dyDescent="0.25">
      <c r="A49" s="443" t="str">
        <f>IF(COUNTBLANK(Supplementary!$C32:$D32)&lt;2,Supplementary!B32,"")</f>
        <v/>
      </c>
      <c r="B49" s="444" t="str">
        <f>IF(COUNTBLANK(Supplementary!$C32:$D32)&lt;2,'Team Data'!A$2,"")</f>
        <v/>
      </c>
      <c r="C49" s="444" t="str">
        <f>IF(COUNTBLANK(Supplementary!$C32:$D32)&lt;2,'Team Data'!C17,"")</f>
        <v/>
      </c>
      <c r="D49" s="444"/>
      <c r="E49" s="444" t="str">
        <f>IF(COUNTBLANK(Supplementary!$C32:$D32)&lt;2,TRIM(PROPER(Supplementary!C32)),"")</f>
        <v/>
      </c>
      <c r="F49" s="444" t="str">
        <f>IF(COUNTBLANK(Supplementary!$C32:$D32)&lt;2,TRIM(PROPER(Supplementary!D32)),"")</f>
        <v/>
      </c>
      <c r="G49" s="443" t="str">
        <f>IF(COUNTBLANK(Supplementary!$C32:$D32)&lt;2,Supplementary!G32,"")</f>
        <v/>
      </c>
      <c r="H49" s="443" t="str">
        <f>IF(COUNTBLANK(Supplementary!$C32:$D32)&lt;2,Supplementary!H32,"")</f>
        <v/>
      </c>
      <c r="I49" s="443" t="str">
        <f>IF(COUNTBLANK(Supplementary!$C32:$D32)&lt;2,Supplementary!J32,"")</f>
        <v/>
      </c>
      <c r="J49" s="443" t="str">
        <f>IF(COUNTBLANK(Supplementary!$C32:$D32)&lt;2,Supplementary!F32,"")</f>
        <v/>
      </c>
      <c r="K49" s="443" t="str">
        <f>""</f>
        <v/>
      </c>
      <c r="L49" s="443" t="str">
        <f>IF(COUNTBLANK(Supplementary!$C32:$D32)&lt;2,IF(COUNTBLANK(Supplementary!$C32:$D32)&lt;2,IF(Supplementary!L32="X","X","")),"")</f>
        <v/>
      </c>
      <c r="M49" s="443" t="str">
        <f>IF(COUNTBLANK(Supplementary!$C32:$D32)&lt;2,IF(COUNTBLANK(Supplementary!$C32:$D32)&lt;2,IF(Supplementary!L32="N","N","")),"")</f>
        <v/>
      </c>
      <c r="N49" s="445" t="str">
        <f>IF(COUNTBLANK(Supplementary!$C32:$D32)&lt;2,IF(Supplementary!E32=0,0,Supplementary!E32),"")</f>
        <v/>
      </c>
      <c r="O49" s="444" t="str">
        <f>IF(COUNTBLANK(Supplementary!C32)=0,INT(Supplementary!AE32),"")</f>
        <v/>
      </c>
      <c r="P49" s="443" t="str">
        <f>IF(COUNTBLANK(Supplementary!C32)=1,"",IF(O49&lt;14,"J","S"))</f>
        <v/>
      </c>
      <c r="Q49" s="443" t="str">
        <f>IF(Supplementary!C32="","",IF(L49="X","K",IF(M49="N","PKEF","TRUE")))</f>
        <v/>
      </c>
      <c r="R49" s="443" t="str">
        <f>IF(LEFT(Supplementary!M32,1)="Y","TRUE","")</f>
        <v/>
      </c>
      <c r="S49" s="443" t="str">
        <f>IF(LEFT(Supplementary!N32,1)="Y","TRUE","")</f>
        <v/>
      </c>
      <c r="T49" s="443" t="str">
        <f>IF(LEFT(Supplementary!O32,1)="Y","TRUE","")</f>
        <v/>
      </c>
      <c r="U49" s="443" t="str">
        <f>IF(LEFT(Supplementary!P32,1)="Y","TRUE","")</f>
        <v/>
      </c>
      <c r="V49" s="443" t="str">
        <f>IF(LEFT(Supplementary!Q32,1)="Y","TRUE","")</f>
        <v/>
      </c>
      <c r="W49" s="443" t="str">
        <f>IF(Supplementary!S32="Open","TRUE","")</f>
        <v/>
      </c>
      <c r="X49" s="443" t="str">
        <f>IF(Supplementary!S32="Sporter","TRUE","")</f>
        <v/>
      </c>
      <c r="Y49" s="443" t="str">
        <f>IF(COUNTBLANK(W49:X49)=1,TRIM(PROPER(Supplementary!U32)),"")</f>
        <v/>
      </c>
      <c r="Z49" s="443" t="str">
        <f>IF(LEFT(Supplementary!R32,1)="Y","TRUE","")</f>
        <v/>
      </c>
      <c r="AA49" s="443" t="str">
        <f>IF(LEFT(Supplementary!W32,1)="Y","TRUE","")</f>
        <v/>
      </c>
      <c r="AB49" s="443" t="str">
        <f>IF(LEFT(Supplementary!V32,1)="Y","TRUE","")</f>
        <v/>
      </c>
      <c r="AC49" s="443" t="str">
        <f>IF(Supplementary!X32="A","TRUE","")</f>
        <v/>
      </c>
      <c r="AD49" s="443" t="str">
        <f>IF(Supplementary!X32="B","TRUE","")</f>
        <v/>
      </c>
      <c r="AE49" s="443" t="str">
        <f>IF(Supplementary!Y32="A","TRUE","")</f>
        <v/>
      </c>
      <c r="AF49" s="443" t="str">
        <f>IF(Supplementary!Y32="B","TRUE","")</f>
        <v/>
      </c>
      <c r="AG49" s="443" t="str">
        <f>IF(Supplementary!Y32="X","TRUE","")</f>
        <v/>
      </c>
      <c r="AH49" s="443" t="str">
        <f>IF(LEN(Supplementary!M32)&gt;1,Supplementary!M32,"")</f>
        <v/>
      </c>
      <c r="AI49" s="443" t="str">
        <f>IF(LEN(Supplementary!N32)&gt;1,Supplementary!N32,"")</f>
        <v/>
      </c>
      <c r="AJ49" s="443" t="str">
        <f>IF(LEN(Supplementary!O32)&gt;1,Supplementary!O32,"")</f>
        <v/>
      </c>
      <c r="AK49" s="443" t="str">
        <f>IF(LEN(Supplementary!P32)&gt;1,Supplementary!P32,"")</f>
        <v/>
      </c>
      <c r="AL49" s="443" t="str">
        <f>IF(LEN(Supplementary!Q32)&gt;1,Supplementary!Q32,"")</f>
        <v/>
      </c>
      <c r="AM49" s="443" t="str">
        <f>IF(LEN(Supplementary!R32)&gt;1,Supplementary!R32,"")</f>
        <v/>
      </c>
      <c r="AN49" s="443" t="str">
        <f>IF(LEN(Supplementary!T32)&gt;1,Supplementary!T32,"")</f>
        <v/>
      </c>
      <c r="AO49" s="443" t="str">
        <f>IF(LEN(Supplementary!V32)&gt;1,Supplementary!V32,"")</f>
        <v/>
      </c>
      <c r="AP49" s="443" t="str">
        <f>IF(COUNTBLANK(Supplementary!$C32:$D32)&lt;2,Supplementary!AP32,"")</f>
        <v/>
      </c>
    </row>
    <row r="50" spans="1:42" ht="13.5" x14ac:dyDescent="0.25">
      <c r="A50" s="443" t="str">
        <f>IF(COUNTBLANK(Supplementary!$C33:$D33)&lt;2,Supplementary!B33,"")</f>
        <v/>
      </c>
      <c r="B50" s="444" t="str">
        <f>IF(COUNTBLANK(Supplementary!$C33:$D33)&lt;2,'Team Data'!A$2,"")</f>
        <v/>
      </c>
      <c r="C50" s="444" t="str">
        <f>IF(COUNTBLANK(Supplementary!$C33:$D33)&lt;2,'Team Data'!C18,"")</f>
        <v/>
      </c>
      <c r="D50" s="444"/>
      <c r="E50" s="444" t="str">
        <f>IF(COUNTBLANK(Supplementary!$C33:$D33)&lt;2,TRIM(PROPER(Supplementary!C33)),"")</f>
        <v/>
      </c>
      <c r="F50" s="444" t="str">
        <f>IF(COUNTBLANK(Supplementary!$C33:$D33)&lt;2,TRIM(PROPER(Supplementary!D33)),"")</f>
        <v/>
      </c>
      <c r="G50" s="443" t="str">
        <f>IF(COUNTBLANK(Supplementary!$C33:$D33)&lt;2,Supplementary!G33,"")</f>
        <v/>
      </c>
      <c r="H50" s="443" t="str">
        <f>IF(COUNTBLANK(Supplementary!$C33:$D33)&lt;2,Supplementary!H33,"")</f>
        <v/>
      </c>
      <c r="I50" s="443" t="str">
        <f>IF(COUNTBLANK(Supplementary!$C33:$D33)&lt;2,Supplementary!J33,"")</f>
        <v/>
      </c>
      <c r="J50" s="443" t="str">
        <f>IF(COUNTBLANK(Supplementary!$C33:$D33)&lt;2,Supplementary!F33,"")</f>
        <v/>
      </c>
      <c r="K50" s="443" t="str">
        <f>""</f>
        <v/>
      </c>
      <c r="L50" s="443" t="str">
        <f>IF(COUNTBLANK(Supplementary!$C33:$D33)&lt;2,IF(COUNTBLANK(Supplementary!$C33:$D33)&lt;2,IF(Supplementary!L33="X","X","")),"")</f>
        <v/>
      </c>
      <c r="M50" s="443" t="str">
        <f>IF(COUNTBLANK(Supplementary!$C33:$D33)&lt;2,IF(COUNTBLANK(Supplementary!$C33:$D33)&lt;2,IF(Supplementary!L33="N","N","")),"")</f>
        <v/>
      </c>
      <c r="N50" s="445" t="str">
        <f>IF(COUNTBLANK(Supplementary!$C33:$D33)&lt;2,IF(Supplementary!E33=0,0,Supplementary!E33),"")</f>
        <v/>
      </c>
      <c r="O50" s="444" t="str">
        <f>IF(COUNTBLANK(Supplementary!C33)=0,INT(Supplementary!AE33),"")</f>
        <v/>
      </c>
      <c r="P50" s="443" t="str">
        <f>IF(COUNTBLANK(Supplementary!C33)=1,"",IF(O50&lt;14,"J","S"))</f>
        <v/>
      </c>
      <c r="Q50" s="443" t="str">
        <f>IF(Supplementary!C33="","",IF(L50="X","K",IF(M50="N","PKEF","TRUE")))</f>
        <v/>
      </c>
      <c r="R50" s="443" t="str">
        <f>IF(LEFT(Supplementary!M33,1)="Y","TRUE","")</f>
        <v/>
      </c>
      <c r="S50" s="443" t="str">
        <f>IF(LEFT(Supplementary!N33,1)="Y","TRUE","")</f>
        <v/>
      </c>
      <c r="T50" s="443" t="str">
        <f>IF(LEFT(Supplementary!O33,1)="Y","TRUE","")</f>
        <v/>
      </c>
      <c r="U50" s="443" t="str">
        <f>IF(LEFT(Supplementary!P33,1)="Y","TRUE","")</f>
        <v/>
      </c>
      <c r="V50" s="443" t="str">
        <f>IF(LEFT(Supplementary!Q33,1)="Y","TRUE","")</f>
        <v/>
      </c>
      <c r="W50" s="443" t="str">
        <f>IF(Supplementary!S33="Open","TRUE","")</f>
        <v/>
      </c>
      <c r="X50" s="443" t="str">
        <f>IF(Supplementary!S33="Sporter","TRUE","")</f>
        <v/>
      </c>
      <c r="Y50" s="443" t="str">
        <f>IF(COUNTBLANK(W50:X50)=1,TRIM(PROPER(Supplementary!U33)),"")</f>
        <v/>
      </c>
      <c r="Z50" s="443" t="str">
        <f>IF(LEFT(Supplementary!R33,1)="Y","TRUE","")</f>
        <v/>
      </c>
      <c r="AA50" s="443" t="str">
        <f>IF(LEFT(Supplementary!W33,1)="Y","TRUE","")</f>
        <v/>
      </c>
      <c r="AB50" s="443" t="str">
        <f>IF(LEFT(Supplementary!V33,1)="Y","TRUE","")</f>
        <v/>
      </c>
      <c r="AC50" s="443" t="str">
        <f>IF(Supplementary!X33="A","TRUE","")</f>
        <v/>
      </c>
      <c r="AD50" s="443" t="str">
        <f>IF(Supplementary!X33="B","TRUE","")</f>
        <v/>
      </c>
      <c r="AE50" s="443" t="str">
        <f>IF(Supplementary!Y33="A","TRUE","")</f>
        <v/>
      </c>
      <c r="AF50" s="443" t="str">
        <f>IF(Supplementary!Y33="B","TRUE","")</f>
        <v/>
      </c>
      <c r="AG50" s="443" t="str">
        <f>IF(Supplementary!Y33="X","TRUE","")</f>
        <v/>
      </c>
      <c r="AH50" s="443" t="str">
        <f>IF(LEN(Supplementary!M33)&gt;1,Supplementary!M33,"")</f>
        <v/>
      </c>
      <c r="AI50" s="443" t="str">
        <f>IF(LEN(Supplementary!N33)&gt;1,Supplementary!N33,"")</f>
        <v/>
      </c>
      <c r="AJ50" s="443" t="str">
        <f>IF(LEN(Supplementary!O33)&gt;1,Supplementary!O33,"")</f>
        <v/>
      </c>
      <c r="AK50" s="443" t="str">
        <f>IF(LEN(Supplementary!P33)&gt;1,Supplementary!P33,"")</f>
        <v/>
      </c>
      <c r="AL50" s="443" t="str">
        <f>IF(LEN(Supplementary!Q33)&gt;1,Supplementary!Q33,"")</f>
        <v/>
      </c>
      <c r="AM50" s="443" t="str">
        <f>IF(LEN(Supplementary!R33)&gt;1,Supplementary!R33,"")</f>
        <v/>
      </c>
      <c r="AN50" s="443" t="str">
        <f>IF(LEN(Supplementary!T33)&gt;1,Supplementary!T33,"")</f>
        <v/>
      </c>
      <c r="AO50" s="443" t="str">
        <f>IF(LEN(Supplementary!V33)&gt;1,Supplementary!V33,"")</f>
        <v/>
      </c>
      <c r="AP50" s="443" t="str">
        <f>IF(COUNTBLANK(Supplementary!$C33:$D33)&lt;2,Supplementary!AP33,"")</f>
        <v/>
      </c>
    </row>
    <row r="51" spans="1:42" ht="13.5" x14ac:dyDescent="0.25">
      <c r="A51" s="443" t="str">
        <f>IF(COUNTBLANK(Supplementary!$C34:$D34)&lt;2,Supplementary!B34,"")</f>
        <v/>
      </c>
      <c r="B51" s="444" t="str">
        <f>IF(COUNTBLANK(Supplementary!$C34:$D34)&lt;2,'Team Data'!A$2,"")</f>
        <v/>
      </c>
      <c r="C51" s="444" t="str">
        <f>IF(COUNTBLANK(Supplementary!$C34:$D34)&lt;2,'Team Data'!C19,"")</f>
        <v/>
      </c>
      <c r="D51" s="444"/>
      <c r="E51" s="444" t="str">
        <f>IF(COUNTBLANK(Supplementary!$C34:$D34)&lt;2,TRIM(PROPER(Supplementary!C34)),"")</f>
        <v/>
      </c>
      <c r="F51" s="444" t="str">
        <f>IF(COUNTBLANK(Supplementary!$C34:$D34)&lt;2,TRIM(PROPER(Supplementary!D34)),"")</f>
        <v/>
      </c>
      <c r="G51" s="443" t="str">
        <f>IF(COUNTBLANK(Supplementary!$C34:$D34)&lt;2,Supplementary!G34,"")</f>
        <v/>
      </c>
      <c r="H51" s="443" t="str">
        <f>IF(COUNTBLANK(Supplementary!$C34:$D34)&lt;2,Supplementary!H34,"")</f>
        <v/>
      </c>
      <c r="I51" s="443" t="str">
        <f>IF(COUNTBLANK(Supplementary!$C34:$D34)&lt;2,Supplementary!J34,"")</f>
        <v/>
      </c>
      <c r="J51" s="443" t="str">
        <f>IF(COUNTBLANK(Supplementary!$C34:$D34)&lt;2,Supplementary!F34,"")</f>
        <v/>
      </c>
      <c r="K51" s="443" t="str">
        <f>""</f>
        <v/>
      </c>
      <c r="L51" s="443" t="str">
        <f>IF(COUNTBLANK(Supplementary!$C34:$D34)&lt;2,IF(COUNTBLANK(Supplementary!$C34:$D34)&lt;2,IF(Supplementary!L34="X","X","")),"")</f>
        <v/>
      </c>
      <c r="M51" s="443" t="str">
        <f>IF(COUNTBLANK(Supplementary!$C34:$D34)&lt;2,IF(COUNTBLANK(Supplementary!$C34:$D34)&lt;2,IF(Supplementary!L34="N","N","")),"")</f>
        <v/>
      </c>
      <c r="N51" s="445" t="str">
        <f>IF(COUNTBLANK(Supplementary!$C34:$D34)&lt;2,IF(Supplementary!E34=0,0,Supplementary!E34),"")</f>
        <v/>
      </c>
      <c r="O51" s="444" t="str">
        <f>IF(COUNTBLANK(Supplementary!C34)=0,INT(Supplementary!AE34),"")</f>
        <v/>
      </c>
      <c r="P51" s="443" t="str">
        <f>IF(COUNTBLANK(Supplementary!C34)=1,"",IF(O51&lt;14,"J","S"))</f>
        <v/>
      </c>
      <c r="Q51" s="443" t="str">
        <f>IF(Supplementary!C34="","",IF(L51="X","K",IF(M51="N","PKEF","TRUE")))</f>
        <v/>
      </c>
      <c r="R51" s="443" t="str">
        <f>IF(LEFT(Supplementary!M34,1)="Y","TRUE","")</f>
        <v/>
      </c>
      <c r="S51" s="443" t="str">
        <f>IF(LEFT(Supplementary!N34,1)="Y","TRUE","")</f>
        <v/>
      </c>
      <c r="T51" s="443" t="str">
        <f>IF(LEFT(Supplementary!O34,1)="Y","TRUE","")</f>
        <v/>
      </c>
      <c r="U51" s="443" t="str">
        <f>IF(LEFT(Supplementary!P34,1)="Y","TRUE","")</f>
        <v/>
      </c>
      <c r="V51" s="443" t="str">
        <f>IF(LEFT(Supplementary!Q34,1)="Y","TRUE","")</f>
        <v/>
      </c>
      <c r="W51" s="443" t="str">
        <f>IF(Supplementary!S34="Open","TRUE","")</f>
        <v/>
      </c>
      <c r="X51" s="443" t="str">
        <f>IF(Supplementary!S34="Sporter","TRUE","")</f>
        <v/>
      </c>
      <c r="Y51" s="443" t="str">
        <f>IF(COUNTBLANK(W51:X51)=1,TRIM(PROPER(Supplementary!U34)),"")</f>
        <v/>
      </c>
      <c r="Z51" s="443" t="str">
        <f>IF(LEFT(Supplementary!R34,1)="Y","TRUE","")</f>
        <v/>
      </c>
      <c r="AA51" s="443" t="str">
        <f>IF(LEFT(Supplementary!W34,1)="Y","TRUE","")</f>
        <v/>
      </c>
      <c r="AB51" s="443" t="str">
        <f>IF(LEFT(Supplementary!V34,1)="Y","TRUE","")</f>
        <v/>
      </c>
      <c r="AC51" s="443" t="str">
        <f>IF(Supplementary!X34="A","TRUE","")</f>
        <v/>
      </c>
      <c r="AD51" s="443" t="str">
        <f>IF(Supplementary!X34="B","TRUE","")</f>
        <v/>
      </c>
      <c r="AE51" s="443" t="str">
        <f>IF(Supplementary!Y34="A","TRUE","")</f>
        <v/>
      </c>
      <c r="AF51" s="443" t="str">
        <f>IF(Supplementary!Y34="B","TRUE","")</f>
        <v/>
      </c>
      <c r="AG51" s="443" t="str">
        <f>IF(Supplementary!Y34="X","TRUE","")</f>
        <v/>
      </c>
      <c r="AH51" s="443" t="str">
        <f>IF(LEN(Supplementary!M34)&gt;1,Supplementary!M34,"")</f>
        <v/>
      </c>
      <c r="AI51" s="443" t="str">
        <f>IF(LEN(Supplementary!N34)&gt;1,Supplementary!N34,"")</f>
        <v/>
      </c>
      <c r="AJ51" s="443" t="str">
        <f>IF(LEN(Supplementary!O34)&gt;1,Supplementary!O34,"")</f>
        <v/>
      </c>
      <c r="AK51" s="443" t="str">
        <f>IF(LEN(Supplementary!P34)&gt;1,Supplementary!P34,"")</f>
        <v/>
      </c>
      <c r="AL51" s="443" t="str">
        <f>IF(LEN(Supplementary!Q34)&gt;1,Supplementary!Q34,"")</f>
        <v/>
      </c>
      <c r="AM51" s="443" t="str">
        <f>IF(LEN(Supplementary!R34)&gt;1,Supplementary!R34,"")</f>
        <v/>
      </c>
      <c r="AN51" s="443" t="str">
        <f>IF(LEN(Supplementary!T34)&gt;1,Supplementary!T34,"")</f>
        <v/>
      </c>
      <c r="AO51" s="443" t="str">
        <f>IF(LEN(Supplementary!V34)&gt;1,Supplementary!V34,"")</f>
        <v/>
      </c>
      <c r="AP51" s="443" t="str">
        <f>IF(COUNTBLANK(Supplementary!$C34:$D34)&lt;2,Supplementary!AP34,"")</f>
        <v/>
      </c>
    </row>
    <row r="52" spans="1:42" ht="13.5" x14ac:dyDescent="0.25">
      <c r="A52" s="443" t="str">
        <f>IF(COUNTBLANK(Supplementary!$C35:$D35)&lt;2,Supplementary!B35,"")</f>
        <v/>
      </c>
      <c r="B52" s="444" t="str">
        <f>IF(COUNTBLANK(Supplementary!$C35:$D35)&lt;2,'Team Data'!A$2,"")</f>
        <v/>
      </c>
      <c r="C52" s="444" t="str">
        <f>IF(COUNTBLANK(Supplementary!$C35:$D35)&lt;2,'Team Data'!C20,"")</f>
        <v/>
      </c>
      <c r="D52" s="444"/>
      <c r="E52" s="444" t="str">
        <f>IF(COUNTBLANK(Supplementary!$C35:$D35)&lt;2,TRIM(PROPER(Supplementary!C35)),"")</f>
        <v/>
      </c>
      <c r="F52" s="444" t="str">
        <f>IF(COUNTBLANK(Supplementary!$C35:$D35)&lt;2,TRIM(PROPER(Supplementary!D35)),"")</f>
        <v/>
      </c>
      <c r="G52" s="443" t="str">
        <f>IF(COUNTBLANK(Supplementary!$C35:$D35)&lt;2,Supplementary!G35,"")</f>
        <v/>
      </c>
      <c r="H52" s="443" t="str">
        <f>IF(COUNTBLANK(Supplementary!$C35:$D35)&lt;2,Supplementary!H35,"")</f>
        <v/>
      </c>
      <c r="I52" s="443" t="str">
        <f>IF(COUNTBLANK(Supplementary!$C35:$D35)&lt;2,Supplementary!J35,"")</f>
        <v/>
      </c>
      <c r="J52" s="443" t="str">
        <f>IF(COUNTBLANK(Supplementary!$C35:$D35)&lt;2,Supplementary!F35,"")</f>
        <v/>
      </c>
      <c r="K52" s="443" t="str">
        <f>""</f>
        <v/>
      </c>
      <c r="L52" s="443" t="str">
        <f>IF(COUNTBLANK(Supplementary!$C35:$D35)&lt;2,IF(COUNTBLANK(Supplementary!$C35:$D35)&lt;2,IF(Supplementary!L35="X","X","")),"")</f>
        <v/>
      </c>
      <c r="M52" s="443" t="str">
        <f>IF(COUNTBLANK(Supplementary!$C35:$D35)&lt;2,IF(COUNTBLANK(Supplementary!$C35:$D35)&lt;2,IF(Supplementary!L35="N","N","")),"")</f>
        <v/>
      </c>
      <c r="N52" s="445" t="str">
        <f>IF(COUNTBLANK(Supplementary!$C35:$D35)&lt;2,IF(Supplementary!E35=0,0,Supplementary!E35),"")</f>
        <v/>
      </c>
      <c r="O52" s="444" t="str">
        <f>IF(COUNTBLANK(Supplementary!C35)=0,INT(Supplementary!AE35),"")</f>
        <v/>
      </c>
      <c r="P52" s="443" t="str">
        <f>IF(COUNTBLANK(Supplementary!C35)=1,"",IF(O52&lt;14,"J","S"))</f>
        <v/>
      </c>
      <c r="Q52" s="443" t="str">
        <f>IF(Supplementary!C35="","",IF(L52="X","K",IF(M52="N","PKEF","TRUE")))</f>
        <v/>
      </c>
      <c r="R52" s="443" t="str">
        <f>IF(LEFT(Supplementary!M35,1)="Y","TRUE","")</f>
        <v/>
      </c>
      <c r="S52" s="443" t="str">
        <f>IF(LEFT(Supplementary!N35,1)="Y","TRUE","")</f>
        <v/>
      </c>
      <c r="T52" s="443" t="str">
        <f>IF(LEFT(Supplementary!O35,1)="Y","TRUE","")</f>
        <v/>
      </c>
      <c r="U52" s="443" t="str">
        <f>IF(LEFT(Supplementary!P35,1)="Y","TRUE","")</f>
        <v/>
      </c>
      <c r="V52" s="443" t="str">
        <f>IF(LEFT(Supplementary!Q35,1)="Y","TRUE","")</f>
        <v/>
      </c>
      <c r="W52" s="443" t="str">
        <f>IF(Supplementary!S35="Open","TRUE","")</f>
        <v/>
      </c>
      <c r="X52" s="443" t="str">
        <f>IF(Supplementary!S35="Sporter","TRUE","")</f>
        <v/>
      </c>
      <c r="Y52" s="443" t="str">
        <f>IF(COUNTBLANK(W52:X52)=1,TRIM(PROPER(Supplementary!U35)),"")</f>
        <v/>
      </c>
      <c r="Z52" s="443" t="str">
        <f>IF(LEFT(Supplementary!R35,1)="Y","TRUE","")</f>
        <v/>
      </c>
      <c r="AA52" s="443" t="str">
        <f>IF(LEFT(Supplementary!W35,1)="Y","TRUE","")</f>
        <v/>
      </c>
      <c r="AB52" s="443" t="str">
        <f>IF(LEFT(Supplementary!V35,1)="Y","TRUE","")</f>
        <v/>
      </c>
      <c r="AC52" s="443" t="str">
        <f>IF(Supplementary!X35="A","TRUE","")</f>
        <v/>
      </c>
      <c r="AD52" s="443" t="str">
        <f>IF(Supplementary!X35="B","TRUE","")</f>
        <v/>
      </c>
      <c r="AE52" s="443" t="str">
        <f>IF(Supplementary!Y35="A","TRUE","")</f>
        <v/>
      </c>
      <c r="AF52" s="443" t="str">
        <f>IF(Supplementary!Y35="B","TRUE","")</f>
        <v/>
      </c>
      <c r="AG52" s="443" t="str">
        <f>IF(Supplementary!Y35="X","TRUE","")</f>
        <v/>
      </c>
      <c r="AH52" s="443" t="str">
        <f>IF(LEN(Supplementary!M35)&gt;1,Supplementary!M35,"")</f>
        <v/>
      </c>
      <c r="AI52" s="443" t="str">
        <f>IF(LEN(Supplementary!N35)&gt;1,Supplementary!N35,"")</f>
        <v/>
      </c>
      <c r="AJ52" s="443" t="str">
        <f>IF(LEN(Supplementary!O35)&gt;1,Supplementary!O35,"")</f>
        <v/>
      </c>
      <c r="AK52" s="443" t="str">
        <f>IF(LEN(Supplementary!P35)&gt;1,Supplementary!P35,"")</f>
        <v/>
      </c>
      <c r="AL52" s="443" t="str">
        <f>IF(LEN(Supplementary!Q35)&gt;1,Supplementary!Q35,"")</f>
        <v/>
      </c>
      <c r="AM52" s="443" t="str">
        <f>IF(LEN(Supplementary!R35)&gt;1,Supplementary!R35,"")</f>
        <v/>
      </c>
      <c r="AN52" s="443" t="str">
        <f>IF(LEN(Supplementary!T35)&gt;1,Supplementary!T35,"")</f>
        <v/>
      </c>
      <c r="AO52" s="443" t="str">
        <f>IF(LEN(Supplementary!V35)&gt;1,Supplementary!V35,"")</f>
        <v/>
      </c>
      <c r="AP52" s="443" t="str">
        <f>IF(COUNTBLANK(Supplementary!$C35:$D35)&lt;2,Supplementary!AP35,"")</f>
        <v/>
      </c>
    </row>
    <row r="53" spans="1:42" ht="13.5" x14ac:dyDescent="0.25">
      <c r="A53" s="443" t="str">
        <f>IF(COUNTBLANK(Supplementary!$C36:$D36)&lt;2,Supplementary!B36,"")</f>
        <v/>
      </c>
      <c r="B53" s="444" t="str">
        <f>IF(COUNTBLANK(Supplementary!$C36:$D36)&lt;2,'Team Data'!A$2,"")</f>
        <v/>
      </c>
      <c r="C53" s="444" t="str">
        <f>IF(COUNTBLANK(Supplementary!$C36:$D36)&lt;2,'Team Data'!C21,"")</f>
        <v/>
      </c>
      <c r="D53" s="444"/>
      <c r="E53" s="444" t="str">
        <f>IF(COUNTBLANK(Supplementary!$C36:$D36)&lt;2,TRIM(PROPER(Supplementary!C36)),"")</f>
        <v/>
      </c>
      <c r="F53" s="444" t="str">
        <f>IF(COUNTBLANK(Supplementary!$C36:$D36)&lt;2,TRIM(PROPER(Supplementary!D36)),"")</f>
        <v/>
      </c>
      <c r="G53" s="443" t="str">
        <f>IF(COUNTBLANK(Supplementary!$C36:$D36)&lt;2,Supplementary!G36,"")</f>
        <v/>
      </c>
      <c r="H53" s="443" t="str">
        <f>IF(COUNTBLANK(Supplementary!$C36:$D36)&lt;2,Supplementary!H36,"")</f>
        <v/>
      </c>
      <c r="I53" s="443" t="str">
        <f>IF(COUNTBLANK(Supplementary!$C36:$D36)&lt;2,Supplementary!J36,"")</f>
        <v/>
      </c>
      <c r="J53" s="443" t="str">
        <f>IF(COUNTBLANK(Supplementary!$C36:$D36)&lt;2,Supplementary!F36,"")</f>
        <v/>
      </c>
      <c r="K53" s="443" t="str">
        <f>""</f>
        <v/>
      </c>
      <c r="L53" s="443" t="str">
        <f>IF(COUNTBLANK(Supplementary!$C36:$D36)&lt;2,IF(COUNTBLANK(Supplementary!$C36:$D36)&lt;2,IF(Supplementary!L36="X","X","")),"")</f>
        <v/>
      </c>
      <c r="M53" s="443" t="str">
        <f>IF(COUNTBLANK(Supplementary!$C36:$D36)&lt;2,IF(COUNTBLANK(Supplementary!$C36:$D36)&lt;2,IF(Supplementary!L36="N","N","")),"")</f>
        <v/>
      </c>
      <c r="N53" s="445" t="str">
        <f>IF(COUNTBLANK(Supplementary!$C36:$D36)&lt;2,IF(Supplementary!E36=0,0,Supplementary!E36),"")</f>
        <v/>
      </c>
      <c r="O53" s="444" t="str">
        <f>IF(COUNTBLANK(Supplementary!C36)=0,INT(Supplementary!AE36),"")</f>
        <v/>
      </c>
      <c r="P53" s="443" t="str">
        <f>IF(COUNTBLANK(Supplementary!C36)=1,"",IF(O53&lt;14,"J","S"))</f>
        <v/>
      </c>
      <c r="Q53" s="443" t="str">
        <f>IF(Supplementary!C36="","",IF(L53="X","K",IF(M53="N","PKEF","TRUE")))</f>
        <v/>
      </c>
      <c r="R53" s="443" t="str">
        <f>IF(LEFT(Supplementary!M36,1)="Y","TRUE","")</f>
        <v/>
      </c>
      <c r="S53" s="443" t="str">
        <f>IF(LEFT(Supplementary!N36,1)="Y","TRUE","")</f>
        <v/>
      </c>
      <c r="T53" s="443" t="str">
        <f>IF(LEFT(Supplementary!O36,1)="Y","TRUE","")</f>
        <v/>
      </c>
      <c r="U53" s="443" t="str">
        <f>IF(LEFT(Supplementary!P36,1)="Y","TRUE","")</f>
        <v/>
      </c>
      <c r="V53" s="443" t="str">
        <f>IF(LEFT(Supplementary!Q36,1)="Y","TRUE","")</f>
        <v/>
      </c>
      <c r="W53" s="443" t="str">
        <f>IF(Supplementary!S36="Open","TRUE","")</f>
        <v/>
      </c>
      <c r="X53" s="443" t="str">
        <f>IF(Supplementary!S36="Sporter","TRUE","")</f>
        <v/>
      </c>
      <c r="Y53" s="443" t="str">
        <f>IF(COUNTBLANK(W53:X53)=1,TRIM(PROPER(Supplementary!U36)),"")</f>
        <v/>
      </c>
      <c r="Z53" s="443" t="str">
        <f>IF(LEFT(Supplementary!R36,1)="Y","TRUE","")</f>
        <v/>
      </c>
      <c r="AA53" s="443" t="str">
        <f>IF(LEFT(Supplementary!W36,1)="Y","TRUE","")</f>
        <v/>
      </c>
      <c r="AB53" s="443" t="str">
        <f>IF(LEFT(Supplementary!V36,1)="Y","TRUE","")</f>
        <v/>
      </c>
      <c r="AC53" s="443" t="str">
        <f>IF(Supplementary!X36="A","TRUE","")</f>
        <v/>
      </c>
      <c r="AD53" s="443" t="str">
        <f>IF(Supplementary!X36="B","TRUE","")</f>
        <v/>
      </c>
      <c r="AE53" s="443" t="str">
        <f>IF(Supplementary!Y36="A","TRUE","")</f>
        <v/>
      </c>
      <c r="AF53" s="443" t="str">
        <f>IF(Supplementary!Y36="B","TRUE","")</f>
        <v/>
      </c>
      <c r="AG53" s="443" t="str">
        <f>IF(Supplementary!Y36="X","TRUE","")</f>
        <v/>
      </c>
      <c r="AH53" s="443" t="str">
        <f>IF(LEN(Supplementary!M36)&gt;1,Supplementary!M36,"")</f>
        <v/>
      </c>
      <c r="AI53" s="443" t="str">
        <f>IF(LEN(Supplementary!N36)&gt;1,Supplementary!N36,"")</f>
        <v/>
      </c>
      <c r="AJ53" s="443" t="str">
        <f>IF(LEN(Supplementary!O36)&gt;1,Supplementary!O36,"")</f>
        <v/>
      </c>
      <c r="AK53" s="443" t="str">
        <f>IF(LEN(Supplementary!P36)&gt;1,Supplementary!P36,"")</f>
        <v/>
      </c>
      <c r="AL53" s="443" t="str">
        <f>IF(LEN(Supplementary!Q36)&gt;1,Supplementary!Q36,"")</f>
        <v/>
      </c>
      <c r="AM53" s="443" t="str">
        <f>IF(LEN(Supplementary!R36)&gt;1,Supplementary!R36,"")</f>
        <v/>
      </c>
      <c r="AN53" s="443" t="str">
        <f>IF(LEN(Supplementary!T36)&gt;1,Supplementary!T36,"")</f>
        <v/>
      </c>
      <c r="AO53" s="443" t="str">
        <f>IF(LEN(Supplementary!V36)&gt;1,Supplementary!V36,"")</f>
        <v/>
      </c>
      <c r="AP53" s="443" t="str">
        <f>IF(COUNTBLANK(Supplementary!$C36:$D36)&lt;2,Supplementary!AP36,"")</f>
        <v/>
      </c>
    </row>
    <row r="54" spans="1:42" ht="13.5" x14ac:dyDescent="0.25">
      <c r="A54" s="443" t="str">
        <f>IF(COUNTBLANK(Supplementary!$C37:$D37)&lt;2,Supplementary!B37,"")</f>
        <v/>
      </c>
      <c r="B54" s="444" t="str">
        <f>IF(COUNTBLANK(Supplementary!$C37:$D37)&lt;2,'Team Data'!A$2,"")</f>
        <v/>
      </c>
      <c r="C54" s="444" t="str">
        <f>IF(COUNTBLANK(Supplementary!$C37:$D37)&lt;2,'Team Data'!C22,"")</f>
        <v/>
      </c>
      <c r="D54" s="444"/>
      <c r="E54" s="444" t="str">
        <f>IF(COUNTBLANK(Supplementary!$C37:$D37)&lt;2,TRIM(PROPER(Supplementary!C37)),"")</f>
        <v/>
      </c>
      <c r="F54" s="444" t="str">
        <f>IF(COUNTBLANK(Supplementary!$C37:$D37)&lt;2,TRIM(PROPER(Supplementary!D37)),"")</f>
        <v/>
      </c>
      <c r="G54" s="443" t="str">
        <f>IF(COUNTBLANK(Supplementary!$C37:$D37)&lt;2,Supplementary!G37,"")</f>
        <v/>
      </c>
      <c r="H54" s="443" t="str">
        <f>IF(COUNTBLANK(Supplementary!$C37:$D37)&lt;2,Supplementary!H37,"")</f>
        <v/>
      </c>
      <c r="I54" s="443" t="str">
        <f>IF(COUNTBLANK(Supplementary!$C37:$D37)&lt;2,Supplementary!J37,"")</f>
        <v/>
      </c>
      <c r="J54" s="443" t="str">
        <f>IF(COUNTBLANK(Supplementary!$C37:$D37)&lt;2,Supplementary!F37,"")</f>
        <v/>
      </c>
      <c r="K54" s="443" t="str">
        <f>""</f>
        <v/>
      </c>
      <c r="L54" s="443" t="str">
        <f>IF(COUNTBLANK(Supplementary!$C37:$D37)&lt;2,IF(COUNTBLANK(Supplementary!$C37:$D37)&lt;2,IF(Supplementary!L37="X","X","")),"")</f>
        <v/>
      </c>
      <c r="M54" s="443" t="str">
        <f>IF(COUNTBLANK(Supplementary!$C37:$D37)&lt;2,IF(COUNTBLANK(Supplementary!$C37:$D37)&lt;2,IF(Supplementary!L37="N","N","")),"")</f>
        <v/>
      </c>
      <c r="N54" s="445" t="str">
        <f>IF(COUNTBLANK(Supplementary!$C37:$D37)&lt;2,IF(Supplementary!E37=0,0,Supplementary!E37),"")</f>
        <v/>
      </c>
      <c r="O54" s="444" t="str">
        <f>IF(COUNTBLANK(Supplementary!C37)=0,INT(Supplementary!AE37),"")</f>
        <v/>
      </c>
      <c r="P54" s="443" t="str">
        <f>IF(COUNTBLANK(Supplementary!C37)=1,"",IF(O54&lt;14,"J","S"))</f>
        <v/>
      </c>
      <c r="Q54" s="443" t="str">
        <f>IF(Supplementary!C37="","",IF(L54="X","K",IF(M54="N","PKEF","TRUE")))</f>
        <v/>
      </c>
      <c r="R54" s="443" t="str">
        <f>IF(LEFT(Supplementary!M37,1)="Y","TRUE","")</f>
        <v/>
      </c>
      <c r="S54" s="443" t="str">
        <f>IF(LEFT(Supplementary!N37,1)="Y","TRUE","")</f>
        <v/>
      </c>
      <c r="T54" s="443" t="str">
        <f>IF(LEFT(Supplementary!O37,1)="Y","TRUE","")</f>
        <v/>
      </c>
      <c r="U54" s="443" t="str">
        <f>IF(LEFT(Supplementary!P37,1)="Y","TRUE","")</f>
        <v/>
      </c>
      <c r="V54" s="443" t="str">
        <f>IF(LEFT(Supplementary!Q37,1)="Y","TRUE","")</f>
        <v/>
      </c>
      <c r="W54" s="443" t="str">
        <f>IF(Supplementary!S37="Open","TRUE","")</f>
        <v/>
      </c>
      <c r="X54" s="443" t="str">
        <f>IF(Supplementary!S37="Sporter","TRUE","")</f>
        <v/>
      </c>
      <c r="Y54" s="443" t="str">
        <f>IF(COUNTBLANK(W54:X54)=1,TRIM(PROPER(Supplementary!U37)),"")</f>
        <v/>
      </c>
      <c r="Z54" s="443" t="str">
        <f>IF(LEFT(Supplementary!R37,1)="Y","TRUE","")</f>
        <v/>
      </c>
      <c r="AA54" s="443" t="str">
        <f>IF(LEFT(Supplementary!W37,1)="Y","TRUE","")</f>
        <v/>
      </c>
      <c r="AB54" s="443" t="str">
        <f>IF(LEFT(Supplementary!V37,1)="Y","TRUE","")</f>
        <v/>
      </c>
      <c r="AC54" s="443" t="str">
        <f>IF(Supplementary!X37="A","TRUE","")</f>
        <v/>
      </c>
      <c r="AD54" s="443" t="str">
        <f>IF(Supplementary!X37="B","TRUE","")</f>
        <v/>
      </c>
      <c r="AE54" s="443" t="str">
        <f>IF(Supplementary!Y37="A","TRUE","")</f>
        <v/>
      </c>
      <c r="AF54" s="443" t="str">
        <f>IF(Supplementary!Y37="B","TRUE","")</f>
        <v/>
      </c>
      <c r="AG54" s="443" t="str">
        <f>IF(Supplementary!Y37="X","TRUE","")</f>
        <v/>
      </c>
      <c r="AH54" s="443" t="str">
        <f>IF(LEN(Supplementary!M37)&gt;1,Supplementary!M37,"")</f>
        <v/>
      </c>
      <c r="AI54" s="443" t="str">
        <f>IF(LEN(Supplementary!N37)&gt;1,Supplementary!N37,"")</f>
        <v/>
      </c>
      <c r="AJ54" s="443" t="str">
        <f>IF(LEN(Supplementary!O37)&gt;1,Supplementary!O37,"")</f>
        <v/>
      </c>
      <c r="AK54" s="443" t="str">
        <f>IF(LEN(Supplementary!P37)&gt;1,Supplementary!P37,"")</f>
        <v/>
      </c>
      <c r="AL54" s="443" t="str">
        <f>IF(LEN(Supplementary!Q37)&gt;1,Supplementary!Q37,"")</f>
        <v/>
      </c>
      <c r="AM54" s="443" t="str">
        <f>IF(LEN(Supplementary!R37)&gt;1,Supplementary!R37,"")</f>
        <v/>
      </c>
      <c r="AN54" s="443" t="str">
        <f>IF(LEN(Supplementary!T37)&gt;1,Supplementary!T37,"")</f>
        <v/>
      </c>
      <c r="AO54" s="443" t="str">
        <f>IF(LEN(Supplementary!V37)&gt;1,Supplementary!V37,"")</f>
        <v/>
      </c>
      <c r="AP54" s="443" t="str">
        <f>IF(COUNTBLANK(Supplementary!$C37:$D37)&lt;2,Supplementary!AP37,"")</f>
        <v/>
      </c>
    </row>
    <row r="55" spans="1:42" ht="13.5" x14ac:dyDescent="0.25">
      <c r="A55" s="443" t="str">
        <f>IF(COUNTBLANK(Supplementary!$C38:$D38)&lt;2,Supplementary!B38,"")</f>
        <v/>
      </c>
      <c r="B55" s="444" t="str">
        <f>IF(COUNTBLANK(Supplementary!$C38:$D38)&lt;2,'Team Data'!A$2,"")</f>
        <v/>
      </c>
      <c r="C55" s="444" t="str">
        <f>IF(COUNTBLANK(Supplementary!$C38:$D38)&lt;2,'Team Data'!C23,"")</f>
        <v/>
      </c>
      <c r="D55" s="444"/>
      <c r="E55" s="444" t="str">
        <f>IF(COUNTBLANK(Supplementary!$C38:$D38)&lt;2,TRIM(PROPER(Supplementary!C38)),"")</f>
        <v/>
      </c>
      <c r="F55" s="444" t="str">
        <f>IF(COUNTBLANK(Supplementary!$C38:$D38)&lt;2,TRIM(PROPER(Supplementary!D38)),"")</f>
        <v/>
      </c>
      <c r="G55" s="443" t="str">
        <f>IF(COUNTBLANK(Supplementary!$C38:$D38)&lt;2,Supplementary!G38,"")</f>
        <v/>
      </c>
      <c r="H55" s="443" t="str">
        <f>IF(COUNTBLANK(Supplementary!$C38:$D38)&lt;2,Supplementary!H38,"")</f>
        <v/>
      </c>
      <c r="I55" s="443" t="str">
        <f>IF(COUNTBLANK(Supplementary!$C38:$D38)&lt;2,Supplementary!J38,"")</f>
        <v/>
      </c>
      <c r="J55" s="443" t="str">
        <f>IF(COUNTBLANK(Supplementary!$C38:$D38)&lt;2,Supplementary!F38,"")</f>
        <v/>
      </c>
      <c r="K55" s="443" t="str">
        <f>""</f>
        <v/>
      </c>
      <c r="L55" s="443" t="str">
        <f>IF(COUNTBLANK(Supplementary!$C38:$D38)&lt;2,IF(COUNTBLANK(Supplementary!$C38:$D38)&lt;2,IF(Supplementary!L38="X","X","")),"")</f>
        <v/>
      </c>
      <c r="M55" s="443" t="str">
        <f>IF(COUNTBLANK(Supplementary!$C38:$D38)&lt;2,IF(COUNTBLANK(Supplementary!$C38:$D38)&lt;2,IF(Supplementary!L38="N","N","")),"")</f>
        <v/>
      </c>
      <c r="N55" s="445" t="str">
        <f>IF(COUNTBLANK(Supplementary!$C38:$D38)&lt;2,IF(Supplementary!E38=0,0,Supplementary!E38),"")</f>
        <v/>
      </c>
      <c r="O55" s="444" t="str">
        <f>IF(COUNTBLANK(Supplementary!C38)=0,INT(Supplementary!AE38),"")</f>
        <v/>
      </c>
      <c r="P55" s="443" t="str">
        <f>IF(COUNTBLANK(Supplementary!C38)=1,"",IF(O55&lt;14,"J","S"))</f>
        <v/>
      </c>
      <c r="Q55" s="443" t="str">
        <f>IF(Supplementary!C38="","",IF(L55="X","K",IF(M55="N","PKEF","TRUE")))</f>
        <v/>
      </c>
      <c r="R55" s="443" t="str">
        <f>IF(LEFT(Supplementary!M38,1)="Y","TRUE","")</f>
        <v/>
      </c>
      <c r="S55" s="443" t="str">
        <f>IF(LEFT(Supplementary!N38,1)="Y","TRUE","")</f>
        <v/>
      </c>
      <c r="T55" s="443" t="str">
        <f>IF(LEFT(Supplementary!O38,1)="Y","TRUE","")</f>
        <v/>
      </c>
      <c r="U55" s="443" t="str">
        <f>IF(LEFT(Supplementary!P38,1)="Y","TRUE","")</f>
        <v/>
      </c>
      <c r="V55" s="443" t="str">
        <f>IF(LEFT(Supplementary!Q38,1)="Y","TRUE","")</f>
        <v/>
      </c>
      <c r="W55" s="443" t="str">
        <f>IF(Supplementary!S38="Open","TRUE","")</f>
        <v/>
      </c>
      <c r="X55" s="443" t="str">
        <f>IF(Supplementary!S38="Sporter","TRUE","")</f>
        <v/>
      </c>
      <c r="Y55" s="443" t="str">
        <f>IF(COUNTBLANK(W55:X55)=1,TRIM(PROPER(Supplementary!U38)),"")</f>
        <v/>
      </c>
      <c r="Z55" s="443" t="str">
        <f>IF(LEFT(Supplementary!R38,1)="Y","TRUE","")</f>
        <v/>
      </c>
      <c r="AA55" s="443" t="str">
        <f>IF(LEFT(Supplementary!W38,1)="Y","TRUE","")</f>
        <v/>
      </c>
      <c r="AB55" s="443" t="str">
        <f>IF(LEFT(Supplementary!V38,1)="Y","TRUE","")</f>
        <v/>
      </c>
      <c r="AC55" s="443" t="str">
        <f>IF(Supplementary!X38="A","TRUE","")</f>
        <v/>
      </c>
      <c r="AD55" s="443" t="str">
        <f>IF(Supplementary!X38="B","TRUE","")</f>
        <v/>
      </c>
      <c r="AE55" s="443" t="str">
        <f>IF(Supplementary!Y38="A","TRUE","")</f>
        <v/>
      </c>
      <c r="AF55" s="443" t="str">
        <f>IF(Supplementary!Y38="B","TRUE","")</f>
        <v/>
      </c>
      <c r="AG55" s="443" t="str">
        <f>IF(Supplementary!Y38="X","TRUE","")</f>
        <v/>
      </c>
      <c r="AH55" s="443" t="str">
        <f>IF(LEN(Supplementary!M38)&gt;1,Supplementary!M38,"")</f>
        <v/>
      </c>
      <c r="AI55" s="443" t="str">
        <f>IF(LEN(Supplementary!N38)&gt;1,Supplementary!N38,"")</f>
        <v/>
      </c>
      <c r="AJ55" s="443" t="str">
        <f>IF(LEN(Supplementary!O38)&gt;1,Supplementary!O38,"")</f>
        <v/>
      </c>
      <c r="AK55" s="443" t="str">
        <f>IF(LEN(Supplementary!P38)&gt;1,Supplementary!P38,"")</f>
        <v/>
      </c>
      <c r="AL55" s="443" t="str">
        <f>IF(LEN(Supplementary!Q38)&gt;1,Supplementary!Q38,"")</f>
        <v/>
      </c>
      <c r="AM55" s="443" t="str">
        <f>IF(LEN(Supplementary!R38)&gt;1,Supplementary!R38,"")</f>
        <v/>
      </c>
      <c r="AN55" s="443" t="str">
        <f>IF(LEN(Supplementary!T38)&gt;1,Supplementary!T38,"")</f>
        <v/>
      </c>
      <c r="AO55" s="443" t="str">
        <f>IF(LEN(Supplementary!V38)&gt;1,Supplementary!V38,"")</f>
        <v/>
      </c>
      <c r="AP55" s="443" t="str">
        <f>IF(COUNTBLANK(Supplementary!$C38:$D38)&lt;2,Supplementary!AP38,"")</f>
        <v/>
      </c>
    </row>
    <row r="56" spans="1:42" ht="13.5" x14ac:dyDescent="0.25">
      <c r="A56" s="443" t="str">
        <f>IF(COUNTBLANK(Supplementary!$C39:$D39)&lt;2,Supplementary!B39,"")</f>
        <v/>
      </c>
      <c r="B56" s="444" t="str">
        <f>IF(COUNTBLANK(Supplementary!$C39:$D39)&lt;2,'Team Data'!A$2,"")</f>
        <v/>
      </c>
      <c r="C56" s="444" t="str">
        <f>IF(COUNTBLANK(Supplementary!$C39:$D39)&lt;2,'Team Data'!C24,"")</f>
        <v/>
      </c>
      <c r="D56" s="444"/>
      <c r="E56" s="444" t="str">
        <f>IF(COUNTBLANK(Supplementary!$C39:$D39)&lt;2,TRIM(PROPER(Supplementary!C39)),"")</f>
        <v/>
      </c>
      <c r="F56" s="444" t="str">
        <f>IF(COUNTBLANK(Supplementary!$C39:$D39)&lt;2,TRIM(PROPER(Supplementary!D39)),"")</f>
        <v/>
      </c>
      <c r="G56" s="443" t="str">
        <f>IF(COUNTBLANK(Supplementary!$C39:$D39)&lt;2,Supplementary!G39,"")</f>
        <v/>
      </c>
      <c r="H56" s="443" t="str">
        <f>IF(COUNTBLANK(Supplementary!$C39:$D39)&lt;2,Supplementary!H39,"")</f>
        <v/>
      </c>
      <c r="I56" s="443" t="str">
        <f>IF(COUNTBLANK(Supplementary!$C39:$D39)&lt;2,Supplementary!J39,"")</f>
        <v/>
      </c>
      <c r="J56" s="443" t="str">
        <f>IF(COUNTBLANK(Supplementary!$C39:$D39)&lt;2,Supplementary!F39,"")</f>
        <v/>
      </c>
      <c r="K56" s="443" t="str">
        <f>""</f>
        <v/>
      </c>
      <c r="L56" s="443" t="str">
        <f>IF(COUNTBLANK(Supplementary!$C39:$D39)&lt;2,IF(COUNTBLANK(Supplementary!$C39:$D39)&lt;2,IF(Supplementary!L39="X","X","")),"")</f>
        <v/>
      </c>
      <c r="M56" s="443" t="str">
        <f>IF(COUNTBLANK(Supplementary!$C39:$D39)&lt;2,IF(COUNTBLANK(Supplementary!$C39:$D39)&lt;2,IF(Supplementary!L39="N","N","")),"")</f>
        <v/>
      </c>
      <c r="N56" s="445" t="str">
        <f>IF(COUNTBLANK(Supplementary!$C39:$D39)&lt;2,IF(Supplementary!E39=0,0,Supplementary!E39),"")</f>
        <v/>
      </c>
      <c r="O56" s="444" t="str">
        <f>IF(COUNTBLANK(Supplementary!C39)=0,INT(Supplementary!AE39),"")</f>
        <v/>
      </c>
      <c r="P56" s="443" t="str">
        <f>IF(COUNTBLANK(Supplementary!C39)=1,"",IF(O56&lt;14,"J","S"))</f>
        <v/>
      </c>
      <c r="Q56" s="443" t="str">
        <f>IF(Supplementary!C39="","",IF(L56="X","K",IF(M56="N","PKEF","TRUE")))</f>
        <v/>
      </c>
      <c r="R56" s="443" t="str">
        <f>IF(LEFT(Supplementary!M39,1)="Y","TRUE","")</f>
        <v/>
      </c>
      <c r="S56" s="443" t="str">
        <f>IF(LEFT(Supplementary!N39,1)="Y","TRUE","")</f>
        <v/>
      </c>
      <c r="T56" s="443" t="str">
        <f>IF(LEFT(Supplementary!O39,1)="Y","TRUE","")</f>
        <v/>
      </c>
      <c r="U56" s="443" t="str">
        <f>IF(LEFT(Supplementary!P39,1)="Y","TRUE","")</f>
        <v/>
      </c>
      <c r="V56" s="443" t="str">
        <f>IF(LEFT(Supplementary!Q39,1)="Y","TRUE","")</f>
        <v/>
      </c>
      <c r="W56" s="443" t="str">
        <f>IF(Supplementary!S39="Open","TRUE","")</f>
        <v/>
      </c>
      <c r="X56" s="443" t="str">
        <f>IF(Supplementary!S39="Sporter","TRUE","")</f>
        <v/>
      </c>
      <c r="Y56" s="443" t="str">
        <f>IF(COUNTBLANK(W56:X56)=1,TRIM(PROPER(Supplementary!U39)),"")</f>
        <v/>
      </c>
      <c r="Z56" s="443" t="str">
        <f>IF(LEFT(Supplementary!R39,1)="Y","TRUE","")</f>
        <v/>
      </c>
      <c r="AA56" s="443" t="str">
        <f>IF(LEFT(Supplementary!W39,1)="Y","TRUE","")</f>
        <v/>
      </c>
      <c r="AB56" s="443" t="str">
        <f>IF(LEFT(Supplementary!V39,1)="Y","TRUE","")</f>
        <v/>
      </c>
      <c r="AC56" s="443" t="str">
        <f>IF(Supplementary!X39="A","TRUE","")</f>
        <v/>
      </c>
      <c r="AD56" s="443" t="str">
        <f>IF(Supplementary!X39="B","TRUE","")</f>
        <v/>
      </c>
      <c r="AE56" s="443" t="str">
        <f>IF(Supplementary!Y39="A","TRUE","")</f>
        <v/>
      </c>
      <c r="AF56" s="443" t="str">
        <f>IF(Supplementary!Y39="B","TRUE","")</f>
        <v/>
      </c>
      <c r="AG56" s="443" t="str">
        <f>IF(Supplementary!Y39="X","TRUE","")</f>
        <v/>
      </c>
      <c r="AH56" s="443" t="str">
        <f>IF(LEN(Supplementary!M39)&gt;1,Supplementary!M39,"")</f>
        <v/>
      </c>
      <c r="AI56" s="443" t="str">
        <f>IF(LEN(Supplementary!N39)&gt;1,Supplementary!N39,"")</f>
        <v/>
      </c>
      <c r="AJ56" s="443" t="str">
        <f>IF(LEN(Supplementary!O39)&gt;1,Supplementary!O39,"")</f>
        <v/>
      </c>
      <c r="AK56" s="443" t="str">
        <f>IF(LEN(Supplementary!P39)&gt;1,Supplementary!P39,"")</f>
        <v/>
      </c>
      <c r="AL56" s="443" t="str">
        <f>IF(LEN(Supplementary!Q39)&gt;1,Supplementary!Q39,"")</f>
        <v/>
      </c>
      <c r="AM56" s="443" t="str">
        <f>IF(LEN(Supplementary!R39)&gt;1,Supplementary!R39,"")</f>
        <v/>
      </c>
      <c r="AN56" s="443" t="str">
        <f>IF(LEN(Supplementary!T39)&gt;1,Supplementary!T39,"")</f>
        <v/>
      </c>
      <c r="AO56" s="443" t="str">
        <f>IF(LEN(Supplementary!V39)&gt;1,Supplementary!V39,"")</f>
        <v/>
      </c>
      <c r="AP56" s="443" t="str">
        <f>IF(COUNTBLANK(Supplementary!$C39:$D39)&lt;2,Supplementary!AP39,"")</f>
        <v/>
      </c>
    </row>
    <row r="57" spans="1:42" ht="13.5" x14ac:dyDescent="0.25">
      <c r="A57" s="443" t="str">
        <f>IF(COUNTBLANK(Supplementary!$C40:$D40)&lt;2,Supplementary!B40,"")</f>
        <v/>
      </c>
      <c r="B57" s="444" t="str">
        <f>IF(COUNTBLANK(Supplementary!$C40:$D40)&lt;2,'Team Data'!A$2,"")</f>
        <v/>
      </c>
      <c r="C57" s="444" t="str">
        <f>IF(COUNTBLANK(Supplementary!$C40:$D40)&lt;2,'Team Data'!C25,"")</f>
        <v/>
      </c>
      <c r="D57" s="444"/>
      <c r="E57" s="444" t="str">
        <f>IF(COUNTBLANK(Supplementary!$C40:$D40)&lt;2,TRIM(PROPER(Supplementary!C40)),"")</f>
        <v/>
      </c>
      <c r="F57" s="444" t="str">
        <f>IF(COUNTBLANK(Supplementary!$C40:$D40)&lt;2,TRIM(PROPER(Supplementary!D40)),"")</f>
        <v/>
      </c>
      <c r="G57" s="443" t="str">
        <f>IF(COUNTBLANK(Supplementary!$C40:$D40)&lt;2,Supplementary!G40,"")</f>
        <v/>
      </c>
      <c r="H57" s="443" t="str">
        <f>IF(COUNTBLANK(Supplementary!$C40:$D40)&lt;2,Supplementary!H40,"")</f>
        <v/>
      </c>
      <c r="I57" s="443" t="str">
        <f>IF(COUNTBLANK(Supplementary!$C40:$D40)&lt;2,Supplementary!J40,"")</f>
        <v/>
      </c>
      <c r="J57" s="443" t="str">
        <f>IF(COUNTBLANK(Supplementary!$C40:$D40)&lt;2,Supplementary!F40,"")</f>
        <v/>
      </c>
      <c r="K57" s="443" t="str">
        <f>""</f>
        <v/>
      </c>
      <c r="L57" s="443" t="str">
        <f>IF(COUNTBLANK(Supplementary!$C40:$D40)&lt;2,IF(COUNTBLANK(Supplementary!$C40:$D40)&lt;2,IF(Supplementary!L40="X","X","")),"")</f>
        <v/>
      </c>
      <c r="M57" s="443" t="str">
        <f>IF(COUNTBLANK(Supplementary!$C40:$D40)&lt;2,IF(COUNTBLANK(Supplementary!$C40:$D40)&lt;2,IF(Supplementary!L40="N","N","")),"")</f>
        <v/>
      </c>
      <c r="N57" s="445" t="str">
        <f>IF(COUNTBLANK(Supplementary!$C40:$D40)&lt;2,IF(Supplementary!E40=0,0,Supplementary!E40),"")</f>
        <v/>
      </c>
      <c r="O57" s="444" t="str">
        <f>IF(COUNTBLANK(Supplementary!C40)=0,INT(Supplementary!AE40),"")</f>
        <v/>
      </c>
      <c r="P57" s="443" t="str">
        <f>IF(COUNTBLANK(Supplementary!C40)=1,"",IF(O57&lt;14,"J","S"))</f>
        <v/>
      </c>
      <c r="Q57" s="443" t="str">
        <f>IF(Supplementary!C40="","",IF(L57="X","K",IF(M57="N","PKEF","TRUE")))</f>
        <v/>
      </c>
      <c r="R57" s="443" t="str">
        <f>IF(LEFT(Supplementary!M40,1)="Y","TRUE","")</f>
        <v/>
      </c>
      <c r="S57" s="443" t="str">
        <f>IF(LEFT(Supplementary!N40,1)="Y","TRUE","")</f>
        <v/>
      </c>
      <c r="T57" s="443" t="str">
        <f>IF(LEFT(Supplementary!O40,1)="Y","TRUE","")</f>
        <v/>
      </c>
      <c r="U57" s="443" t="str">
        <f>IF(LEFT(Supplementary!P40,1)="Y","TRUE","")</f>
        <v/>
      </c>
      <c r="V57" s="443" t="str">
        <f>IF(LEFT(Supplementary!Q40,1)="Y","TRUE","")</f>
        <v/>
      </c>
      <c r="W57" s="443" t="str">
        <f>IF(Supplementary!S40="Open","TRUE","")</f>
        <v/>
      </c>
      <c r="X57" s="443" t="str">
        <f>IF(Supplementary!S40="Sporter","TRUE","")</f>
        <v/>
      </c>
      <c r="Y57" s="443" t="str">
        <f>IF(COUNTBLANK(W57:X57)=1,TRIM(PROPER(Supplementary!U40)),"")</f>
        <v/>
      </c>
      <c r="Z57" s="443" t="str">
        <f>IF(LEFT(Supplementary!R40,1)="Y","TRUE","")</f>
        <v/>
      </c>
      <c r="AA57" s="443" t="str">
        <f>IF(LEFT(Supplementary!W40,1)="Y","TRUE","")</f>
        <v/>
      </c>
      <c r="AB57" s="443" t="str">
        <f>IF(LEFT(Supplementary!V40,1)="Y","TRUE","")</f>
        <v/>
      </c>
      <c r="AC57" s="443" t="str">
        <f>IF(Supplementary!X40="A","TRUE","")</f>
        <v/>
      </c>
      <c r="AD57" s="443" t="str">
        <f>IF(Supplementary!X40="B","TRUE","")</f>
        <v/>
      </c>
      <c r="AE57" s="443" t="str">
        <f>IF(Supplementary!Y40="A","TRUE","")</f>
        <v/>
      </c>
      <c r="AF57" s="443" t="str">
        <f>IF(Supplementary!Y40="B","TRUE","")</f>
        <v/>
      </c>
      <c r="AG57" s="443" t="str">
        <f>IF(Supplementary!Y40="X","TRUE","")</f>
        <v/>
      </c>
      <c r="AH57" s="443" t="str">
        <f>IF(LEN(Supplementary!M40)&gt;1,Supplementary!M40,"")</f>
        <v/>
      </c>
      <c r="AI57" s="443" t="str">
        <f>IF(LEN(Supplementary!N40)&gt;1,Supplementary!N40,"")</f>
        <v/>
      </c>
      <c r="AJ57" s="443" t="str">
        <f>IF(LEN(Supplementary!O40)&gt;1,Supplementary!O40,"")</f>
        <v/>
      </c>
      <c r="AK57" s="443" t="str">
        <f>IF(LEN(Supplementary!P40)&gt;1,Supplementary!P40,"")</f>
        <v/>
      </c>
      <c r="AL57" s="443" t="str">
        <f>IF(LEN(Supplementary!Q40)&gt;1,Supplementary!Q40,"")</f>
        <v/>
      </c>
      <c r="AM57" s="443" t="str">
        <f>IF(LEN(Supplementary!R40)&gt;1,Supplementary!R40,"")</f>
        <v/>
      </c>
      <c r="AN57" s="443" t="str">
        <f>IF(LEN(Supplementary!T40)&gt;1,Supplementary!T40,"")</f>
        <v/>
      </c>
      <c r="AO57" s="443" t="str">
        <f>IF(LEN(Supplementary!V40)&gt;1,Supplementary!V40,"")</f>
        <v/>
      </c>
      <c r="AP57" s="443" t="str">
        <f>IF(COUNTBLANK(Supplementary!$C40:$D40)&lt;2,Supplementary!AP40,"")</f>
        <v/>
      </c>
    </row>
    <row r="58" spans="1:42" ht="13.5" x14ac:dyDescent="0.25">
      <c r="A58" s="443" t="str">
        <f>IF(COUNTBLANK(Supplementary!$C41:$D41)&lt;2,Supplementary!B41,"")</f>
        <v/>
      </c>
      <c r="B58" s="444" t="str">
        <f>IF(COUNTBLANK(Supplementary!$C41:$D41)&lt;2,'Team Data'!A$2,"")</f>
        <v/>
      </c>
      <c r="C58" s="444" t="str">
        <f>IF(COUNTBLANK(Supplementary!$C41:$D41)&lt;2,'Team Data'!C26,"")</f>
        <v/>
      </c>
      <c r="D58" s="444"/>
      <c r="E58" s="444" t="str">
        <f>IF(COUNTBLANK(Supplementary!$C41:$D41)&lt;2,TRIM(PROPER(Supplementary!C41)),"")</f>
        <v/>
      </c>
      <c r="F58" s="444" t="str">
        <f>IF(COUNTBLANK(Supplementary!$C41:$D41)&lt;2,TRIM(PROPER(Supplementary!D41)),"")</f>
        <v/>
      </c>
      <c r="G58" s="443" t="str">
        <f>IF(COUNTBLANK(Supplementary!$C41:$D41)&lt;2,Supplementary!G41,"")</f>
        <v/>
      </c>
      <c r="H58" s="443" t="str">
        <f>IF(COUNTBLANK(Supplementary!$C41:$D41)&lt;2,Supplementary!H41,"")</f>
        <v/>
      </c>
      <c r="I58" s="443" t="str">
        <f>IF(COUNTBLANK(Supplementary!$C41:$D41)&lt;2,Supplementary!J41,"")</f>
        <v/>
      </c>
      <c r="J58" s="443" t="str">
        <f>IF(COUNTBLANK(Supplementary!$C41:$D41)&lt;2,Supplementary!F41,"")</f>
        <v/>
      </c>
      <c r="K58" s="443" t="str">
        <f>""</f>
        <v/>
      </c>
      <c r="L58" s="443" t="str">
        <f>IF(COUNTBLANK(Supplementary!$C41:$D41)&lt;2,IF(COUNTBLANK(Supplementary!$C41:$D41)&lt;2,IF(Supplementary!L41="X","X","")),"")</f>
        <v/>
      </c>
      <c r="M58" s="443" t="str">
        <f>IF(COUNTBLANK(Supplementary!$C41:$D41)&lt;2,IF(COUNTBLANK(Supplementary!$C41:$D41)&lt;2,IF(Supplementary!L41="N","N","")),"")</f>
        <v/>
      </c>
      <c r="N58" s="445" t="str">
        <f>IF(COUNTBLANK(Supplementary!$C41:$D41)&lt;2,IF(Supplementary!E41=0,0,Supplementary!E41),"")</f>
        <v/>
      </c>
      <c r="O58" s="444" t="str">
        <f>IF(COUNTBLANK(Supplementary!C41)=0,INT(Supplementary!AE41),"")</f>
        <v/>
      </c>
      <c r="P58" s="443" t="str">
        <f>IF(COUNTBLANK(Supplementary!C41)=1,"",IF(O58&lt;14,"J","S"))</f>
        <v/>
      </c>
      <c r="Q58" s="443" t="str">
        <f>IF(Supplementary!C41="","",IF(L58="X","K",IF(M58="N","PKEF","TRUE")))</f>
        <v/>
      </c>
      <c r="R58" s="443" t="str">
        <f>IF(LEFT(Supplementary!M41,1)="Y","TRUE","")</f>
        <v/>
      </c>
      <c r="S58" s="443" t="str">
        <f>IF(LEFT(Supplementary!N41,1)="Y","TRUE","")</f>
        <v/>
      </c>
      <c r="T58" s="443" t="str">
        <f>IF(LEFT(Supplementary!O41,1)="Y","TRUE","")</f>
        <v/>
      </c>
      <c r="U58" s="443" t="str">
        <f>IF(LEFT(Supplementary!P41,1)="Y","TRUE","")</f>
        <v/>
      </c>
      <c r="V58" s="443" t="str">
        <f>IF(LEFT(Supplementary!Q41,1)="Y","TRUE","")</f>
        <v/>
      </c>
      <c r="W58" s="443" t="str">
        <f>IF(Supplementary!S41="Open","TRUE","")</f>
        <v/>
      </c>
      <c r="X58" s="443" t="str">
        <f>IF(Supplementary!S41="Sporter","TRUE","")</f>
        <v/>
      </c>
      <c r="Y58" s="443" t="str">
        <f>IF(COUNTBLANK(W58:X58)=1,TRIM(PROPER(Supplementary!U41)),"")</f>
        <v/>
      </c>
      <c r="Z58" s="443" t="str">
        <f>IF(LEFT(Supplementary!R41,1)="Y","TRUE","")</f>
        <v/>
      </c>
      <c r="AA58" s="443" t="str">
        <f>IF(LEFT(Supplementary!W41,1)="Y","TRUE","")</f>
        <v/>
      </c>
      <c r="AB58" s="443" t="str">
        <f>IF(LEFT(Supplementary!V41,1)="Y","TRUE","")</f>
        <v/>
      </c>
      <c r="AC58" s="443" t="str">
        <f>IF(Supplementary!X41="A","TRUE","")</f>
        <v/>
      </c>
      <c r="AD58" s="443" t="str">
        <f>IF(Supplementary!X41="B","TRUE","")</f>
        <v/>
      </c>
      <c r="AE58" s="443" t="str">
        <f>IF(Supplementary!Y41="A","TRUE","")</f>
        <v/>
      </c>
      <c r="AF58" s="443" t="str">
        <f>IF(Supplementary!Y41="B","TRUE","")</f>
        <v/>
      </c>
      <c r="AG58" s="443" t="str">
        <f>IF(Supplementary!Y41="X","TRUE","")</f>
        <v/>
      </c>
      <c r="AH58" s="443" t="str">
        <f>IF(LEN(Supplementary!M41)&gt;1,Supplementary!M41,"")</f>
        <v/>
      </c>
      <c r="AI58" s="443" t="str">
        <f>IF(LEN(Supplementary!N41)&gt;1,Supplementary!N41,"")</f>
        <v/>
      </c>
      <c r="AJ58" s="443" t="str">
        <f>IF(LEN(Supplementary!O41)&gt;1,Supplementary!O41,"")</f>
        <v/>
      </c>
      <c r="AK58" s="443" t="str">
        <f>IF(LEN(Supplementary!P41)&gt;1,Supplementary!P41,"")</f>
        <v/>
      </c>
      <c r="AL58" s="443" t="str">
        <f>IF(LEN(Supplementary!Q41)&gt;1,Supplementary!Q41,"")</f>
        <v/>
      </c>
      <c r="AM58" s="443" t="str">
        <f>IF(LEN(Supplementary!R41)&gt;1,Supplementary!R41,"")</f>
        <v/>
      </c>
      <c r="AN58" s="443" t="str">
        <f>IF(LEN(Supplementary!T41)&gt;1,Supplementary!T41,"")</f>
        <v/>
      </c>
      <c r="AO58" s="443" t="str">
        <f>IF(LEN(Supplementary!V41)&gt;1,Supplementary!V41,"")</f>
        <v/>
      </c>
      <c r="AP58" s="443" t="str">
        <f>IF(COUNTBLANK(Supplementary!$C41:$D41)&lt;2,Supplementary!AP41,"")</f>
        <v/>
      </c>
    </row>
    <row r="59" spans="1:42" ht="13.5" x14ac:dyDescent="0.25">
      <c r="A59" s="443" t="str">
        <f>IF(COUNTBLANK(Supplementary!$C42:$D42)&lt;2,Supplementary!B42,"")</f>
        <v/>
      </c>
      <c r="B59" s="444" t="str">
        <f>IF(COUNTBLANK(Supplementary!$C42:$D42)&lt;2,'Team Data'!A$2,"")</f>
        <v/>
      </c>
      <c r="C59" s="444" t="str">
        <f>IF(COUNTBLANK(Supplementary!$C42:$D42)&lt;2,'Team Data'!C27,"")</f>
        <v/>
      </c>
      <c r="D59" s="444"/>
      <c r="E59" s="444" t="str">
        <f>IF(COUNTBLANK(Supplementary!$C42:$D42)&lt;2,TRIM(PROPER(Supplementary!C42)),"")</f>
        <v/>
      </c>
      <c r="F59" s="444" t="str">
        <f>IF(COUNTBLANK(Supplementary!$C42:$D42)&lt;2,TRIM(PROPER(Supplementary!D42)),"")</f>
        <v/>
      </c>
      <c r="G59" s="443" t="str">
        <f>IF(COUNTBLANK(Supplementary!$C42:$D42)&lt;2,Supplementary!G42,"")</f>
        <v/>
      </c>
      <c r="H59" s="443" t="str">
        <f>IF(COUNTBLANK(Supplementary!$C42:$D42)&lt;2,Supplementary!H42,"")</f>
        <v/>
      </c>
      <c r="I59" s="443" t="str">
        <f>IF(COUNTBLANK(Supplementary!$C42:$D42)&lt;2,Supplementary!J42,"")</f>
        <v/>
      </c>
      <c r="J59" s="443" t="str">
        <f>IF(COUNTBLANK(Supplementary!$C42:$D42)&lt;2,Supplementary!F42,"")</f>
        <v/>
      </c>
      <c r="K59" s="443" t="str">
        <f>""</f>
        <v/>
      </c>
      <c r="L59" s="443" t="str">
        <f>IF(COUNTBLANK(Supplementary!$C42:$D42)&lt;2,IF(COUNTBLANK(Supplementary!$C42:$D42)&lt;2,IF(Supplementary!L42="X","X","")),"")</f>
        <v/>
      </c>
      <c r="M59" s="443" t="str">
        <f>IF(COUNTBLANK(Supplementary!$C42:$D42)&lt;2,IF(COUNTBLANK(Supplementary!$C42:$D42)&lt;2,IF(Supplementary!L42="N","N","")),"")</f>
        <v/>
      </c>
      <c r="N59" s="445" t="str">
        <f>IF(COUNTBLANK(Supplementary!$C42:$D42)&lt;2,IF(Supplementary!E42=0,0,Supplementary!E42),"")</f>
        <v/>
      </c>
      <c r="O59" s="444" t="str">
        <f>IF(COUNTBLANK(Supplementary!C42)=0,INT(Supplementary!AE42),"")</f>
        <v/>
      </c>
      <c r="P59" s="443" t="str">
        <f>IF(COUNTBLANK(Supplementary!C42)=1,"",IF(O59&lt;14,"J","S"))</f>
        <v/>
      </c>
      <c r="Q59" s="443" t="str">
        <f>IF(Supplementary!C42="","",IF(L59="X","K",IF(M59="N","PKEF","TRUE")))</f>
        <v/>
      </c>
      <c r="R59" s="443" t="str">
        <f>IF(LEFT(Supplementary!M42,1)="Y","TRUE","")</f>
        <v/>
      </c>
      <c r="S59" s="443" t="str">
        <f>IF(LEFT(Supplementary!N42,1)="Y","TRUE","")</f>
        <v/>
      </c>
      <c r="T59" s="443" t="str">
        <f>IF(LEFT(Supplementary!O42,1)="Y","TRUE","")</f>
        <v/>
      </c>
      <c r="U59" s="443" t="str">
        <f>IF(LEFT(Supplementary!P42,1)="Y","TRUE","")</f>
        <v/>
      </c>
      <c r="V59" s="443" t="str">
        <f>IF(LEFT(Supplementary!Q42,1)="Y","TRUE","")</f>
        <v/>
      </c>
      <c r="W59" s="443" t="str">
        <f>IF(Supplementary!S42="Open","TRUE","")</f>
        <v/>
      </c>
      <c r="X59" s="443" t="str">
        <f>IF(Supplementary!S42="Sporter","TRUE","")</f>
        <v/>
      </c>
      <c r="Y59" s="443" t="str">
        <f>IF(COUNTBLANK(W59:X59)=1,TRIM(PROPER(Supplementary!U42)),"")</f>
        <v/>
      </c>
      <c r="Z59" s="443" t="str">
        <f>IF(LEFT(Supplementary!R42,1)="Y","TRUE","")</f>
        <v/>
      </c>
      <c r="AA59" s="443" t="str">
        <f>IF(LEFT(Supplementary!W42,1)="Y","TRUE","")</f>
        <v/>
      </c>
      <c r="AB59" s="443" t="str">
        <f>IF(LEFT(Supplementary!V42,1)="Y","TRUE","")</f>
        <v/>
      </c>
      <c r="AC59" s="443" t="str">
        <f>IF(Supplementary!X42="A","TRUE","")</f>
        <v/>
      </c>
      <c r="AD59" s="443" t="str">
        <f>IF(Supplementary!X42="B","TRUE","")</f>
        <v/>
      </c>
      <c r="AE59" s="443" t="str">
        <f>IF(Supplementary!Y42="A","TRUE","")</f>
        <v/>
      </c>
      <c r="AF59" s="443" t="str">
        <f>IF(Supplementary!Y42="B","TRUE","")</f>
        <v/>
      </c>
      <c r="AG59" s="443" t="str">
        <f>IF(Supplementary!Y42="X","TRUE","")</f>
        <v/>
      </c>
      <c r="AH59" s="443" t="str">
        <f>IF(LEN(Supplementary!M42)&gt;1,Supplementary!M42,"")</f>
        <v/>
      </c>
      <c r="AI59" s="443" t="str">
        <f>IF(LEN(Supplementary!N42)&gt;1,Supplementary!N42,"")</f>
        <v/>
      </c>
      <c r="AJ59" s="443" t="str">
        <f>IF(LEN(Supplementary!O42)&gt;1,Supplementary!O42,"")</f>
        <v/>
      </c>
      <c r="AK59" s="443" t="str">
        <f>IF(LEN(Supplementary!P42)&gt;1,Supplementary!P42,"")</f>
        <v/>
      </c>
      <c r="AL59" s="443" t="str">
        <f>IF(LEN(Supplementary!Q42)&gt;1,Supplementary!Q42,"")</f>
        <v/>
      </c>
      <c r="AM59" s="443" t="str">
        <f>IF(LEN(Supplementary!R42)&gt;1,Supplementary!R42,"")</f>
        <v/>
      </c>
      <c r="AN59" s="443" t="str">
        <f>IF(LEN(Supplementary!T42)&gt;1,Supplementary!T42,"")</f>
        <v/>
      </c>
      <c r="AO59" s="443" t="str">
        <f>IF(LEN(Supplementary!V42)&gt;1,Supplementary!V42,"")</f>
        <v/>
      </c>
      <c r="AP59" s="443" t="str">
        <f>IF(COUNTBLANK(Supplementary!$C42:$D42)&lt;2,Supplementary!AP42,"")</f>
        <v/>
      </c>
    </row>
    <row r="60" spans="1:42" ht="13.5" x14ac:dyDescent="0.25">
      <c r="A60" s="443" t="str">
        <f>IF(COUNTBLANK(Supplementary!$C43:$D43)&lt;2,Supplementary!B43,"")</f>
        <v/>
      </c>
      <c r="B60" s="444" t="str">
        <f>IF(COUNTBLANK(Supplementary!$C43:$D43)&lt;2,'Team Data'!A$2,"")</f>
        <v/>
      </c>
      <c r="C60" s="444" t="str">
        <f>IF(COUNTBLANK(Supplementary!$C43:$D43)&lt;2,'Team Data'!C28,"")</f>
        <v/>
      </c>
      <c r="D60" s="444"/>
      <c r="E60" s="444" t="str">
        <f>IF(COUNTBLANK(Supplementary!$C43:$D43)&lt;2,TRIM(PROPER(Supplementary!C43)),"")</f>
        <v/>
      </c>
      <c r="F60" s="444" t="str">
        <f>IF(COUNTBLANK(Supplementary!$C43:$D43)&lt;2,TRIM(PROPER(Supplementary!D43)),"")</f>
        <v/>
      </c>
      <c r="G60" s="443" t="str">
        <f>IF(COUNTBLANK(Supplementary!$C43:$D43)&lt;2,Supplementary!G43,"")</f>
        <v/>
      </c>
      <c r="H60" s="443" t="str">
        <f>IF(COUNTBLANK(Supplementary!$C43:$D43)&lt;2,Supplementary!H43,"")</f>
        <v/>
      </c>
      <c r="I60" s="443" t="str">
        <f>IF(COUNTBLANK(Supplementary!$C43:$D43)&lt;2,Supplementary!J43,"")</f>
        <v/>
      </c>
      <c r="J60" s="443" t="str">
        <f>IF(COUNTBLANK(Supplementary!$C43:$D43)&lt;2,Supplementary!F43,"")</f>
        <v/>
      </c>
      <c r="K60" s="443" t="str">
        <f>""</f>
        <v/>
      </c>
      <c r="L60" s="443" t="str">
        <f>IF(COUNTBLANK(Supplementary!$C43:$D43)&lt;2,IF(COUNTBLANK(Supplementary!$C43:$D43)&lt;2,IF(Supplementary!L43="X","X","")),"")</f>
        <v/>
      </c>
      <c r="M60" s="443" t="str">
        <f>IF(COUNTBLANK(Supplementary!$C43:$D43)&lt;2,IF(COUNTBLANK(Supplementary!$C43:$D43)&lt;2,IF(Supplementary!L43="N","N","")),"")</f>
        <v/>
      </c>
      <c r="N60" s="445" t="str">
        <f>IF(COUNTBLANK(Supplementary!$C43:$D43)&lt;2,IF(Supplementary!E43=0,0,Supplementary!E43),"")</f>
        <v/>
      </c>
      <c r="O60" s="444" t="str">
        <f>IF(COUNTBLANK(Supplementary!C43)=0,INT(Supplementary!AE43),"")</f>
        <v/>
      </c>
      <c r="P60" s="443" t="str">
        <f>IF(COUNTBLANK(Supplementary!C43)=1,"",IF(O60&lt;14,"J","S"))</f>
        <v/>
      </c>
      <c r="Q60" s="443" t="str">
        <f>IF(Supplementary!C43="","",IF(L60="X","K",IF(M60="N","PKEF","TRUE")))</f>
        <v/>
      </c>
      <c r="R60" s="443" t="str">
        <f>IF(LEFT(Supplementary!M43,1)="Y","TRUE","")</f>
        <v/>
      </c>
      <c r="S60" s="443" t="str">
        <f>IF(LEFT(Supplementary!N43,1)="Y","TRUE","")</f>
        <v/>
      </c>
      <c r="T60" s="443" t="str">
        <f>IF(LEFT(Supplementary!O43,1)="Y","TRUE","")</f>
        <v/>
      </c>
      <c r="U60" s="443" t="str">
        <f>IF(LEFT(Supplementary!P43,1)="Y","TRUE","")</f>
        <v/>
      </c>
      <c r="V60" s="443" t="str">
        <f>IF(LEFT(Supplementary!Q43,1)="Y","TRUE","")</f>
        <v/>
      </c>
      <c r="W60" s="443" t="str">
        <f>IF(Supplementary!S43="Open","TRUE","")</f>
        <v/>
      </c>
      <c r="X60" s="443" t="str">
        <f>IF(Supplementary!S43="Sporter","TRUE","")</f>
        <v/>
      </c>
      <c r="Y60" s="443" t="str">
        <f>IF(COUNTBLANK(W60:X60)=1,TRIM(PROPER(Supplementary!U43)),"")</f>
        <v/>
      </c>
      <c r="Z60" s="443" t="str">
        <f>IF(LEFT(Supplementary!R43,1)="Y","TRUE","")</f>
        <v/>
      </c>
      <c r="AA60" s="443" t="str">
        <f>IF(LEFT(Supplementary!W43,1)="Y","TRUE","")</f>
        <v/>
      </c>
      <c r="AB60" s="443" t="str">
        <f>IF(LEFT(Supplementary!V43,1)="Y","TRUE","")</f>
        <v/>
      </c>
      <c r="AC60" s="443" t="str">
        <f>IF(Supplementary!X43="A","TRUE","")</f>
        <v/>
      </c>
      <c r="AD60" s="443" t="str">
        <f>IF(Supplementary!X43="B","TRUE","")</f>
        <v/>
      </c>
      <c r="AE60" s="443" t="str">
        <f>IF(Supplementary!Y43="A","TRUE","")</f>
        <v/>
      </c>
      <c r="AF60" s="443" t="str">
        <f>IF(Supplementary!Y43="B","TRUE","")</f>
        <v/>
      </c>
      <c r="AG60" s="443" t="str">
        <f>IF(Supplementary!Y43="X","TRUE","")</f>
        <v/>
      </c>
      <c r="AH60" s="443" t="str">
        <f>IF(LEN(Supplementary!M43)&gt;1,Supplementary!M43,"")</f>
        <v/>
      </c>
      <c r="AI60" s="443" t="str">
        <f>IF(LEN(Supplementary!N43)&gt;1,Supplementary!N43,"")</f>
        <v/>
      </c>
      <c r="AJ60" s="443" t="str">
        <f>IF(LEN(Supplementary!O43)&gt;1,Supplementary!O43,"")</f>
        <v/>
      </c>
      <c r="AK60" s="443" t="str">
        <f>IF(LEN(Supplementary!P43)&gt;1,Supplementary!P43,"")</f>
        <v/>
      </c>
      <c r="AL60" s="443" t="str">
        <f>IF(LEN(Supplementary!Q43)&gt;1,Supplementary!Q43,"")</f>
        <v/>
      </c>
      <c r="AM60" s="443" t="str">
        <f>IF(LEN(Supplementary!R43)&gt;1,Supplementary!R43,"")</f>
        <v/>
      </c>
      <c r="AN60" s="443" t="str">
        <f>IF(LEN(Supplementary!T43)&gt;1,Supplementary!T43,"")</f>
        <v/>
      </c>
      <c r="AO60" s="443" t="str">
        <f>IF(LEN(Supplementary!V43)&gt;1,Supplementary!V43,"")</f>
        <v/>
      </c>
      <c r="AP60" s="443" t="str">
        <f>IF(COUNTBLANK(Supplementary!$C43:$D43)&lt;2,Supplementary!AP43,"")</f>
        <v/>
      </c>
    </row>
    <row r="61" spans="1:42" x14ac:dyDescent="0.2">
      <c r="A61" s="436"/>
    </row>
    <row r="62" spans="1:42" x14ac:dyDescent="0.2">
      <c r="A62" s="436"/>
    </row>
    <row r="63" spans="1:42" x14ac:dyDescent="0.2">
      <c r="A63" s="436"/>
    </row>
    <row r="64" spans="1:42" x14ac:dyDescent="0.2">
      <c r="A64" s="436"/>
    </row>
    <row r="65" spans="1:1" x14ac:dyDescent="0.2">
      <c r="A65" s="436"/>
    </row>
    <row r="66" spans="1:1" x14ac:dyDescent="0.2">
      <c r="A66" s="436"/>
    </row>
    <row r="67" spans="1:1" x14ac:dyDescent="0.2">
      <c r="A67" s="436"/>
    </row>
    <row r="68" spans="1:1" x14ac:dyDescent="0.2">
      <c r="A68" s="436"/>
    </row>
    <row r="69" spans="1:1" x14ac:dyDescent="0.2">
      <c r="A69" s="436"/>
    </row>
    <row r="70" spans="1:1" x14ac:dyDescent="0.2">
      <c r="A70" s="436"/>
    </row>
    <row r="71" spans="1:1" x14ac:dyDescent="0.2">
      <c r="A71" s="436"/>
    </row>
    <row r="72" spans="1:1" x14ac:dyDescent="0.2">
      <c r="A72" s="436"/>
    </row>
    <row r="73" spans="1:1" x14ac:dyDescent="0.2">
      <c r="A73" s="436"/>
    </row>
    <row r="74" spans="1:1" x14ac:dyDescent="0.2">
      <c r="A74" s="436"/>
    </row>
    <row r="75" spans="1:1" x14ac:dyDescent="0.2">
      <c r="A75" s="436"/>
    </row>
    <row r="76" spans="1:1" x14ac:dyDescent="0.2">
      <c r="A76" s="436"/>
    </row>
    <row r="77" spans="1:1" x14ac:dyDescent="0.2">
      <c r="A77" s="436"/>
    </row>
    <row r="78" spans="1:1" x14ac:dyDescent="0.2">
      <c r="A78" s="436"/>
    </row>
    <row r="79" spans="1:1" x14ac:dyDescent="0.2">
      <c r="A79" s="436"/>
    </row>
    <row r="80" spans="1:1" x14ac:dyDescent="0.2">
      <c r="A80" s="436"/>
    </row>
    <row r="81" spans="1:1" x14ac:dyDescent="0.2">
      <c r="A81" s="436"/>
    </row>
    <row r="82" spans="1:1" x14ac:dyDescent="0.2">
      <c r="A82" s="436"/>
    </row>
    <row r="83" spans="1:1" x14ac:dyDescent="0.2">
      <c r="A83" s="436"/>
    </row>
    <row r="84" spans="1:1" x14ac:dyDescent="0.2">
      <c r="A84" s="436"/>
    </row>
    <row r="85" spans="1:1" x14ac:dyDescent="0.2">
      <c r="A85" s="436"/>
    </row>
    <row r="86" spans="1:1" x14ac:dyDescent="0.2">
      <c r="A86" s="436"/>
    </row>
    <row r="87" spans="1:1" x14ac:dyDescent="0.2">
      <c r="A87" s="436"/>
    </row>
    <row r="88" spans="1:1" x14ac:dyDescent="0.2">
      <c r="A88" s="436"/>
    </row>
    <row r="89" spans="1:1" x14ac:dyDescent="0.2">
      <c r="A89" s="436"/>
    </row>
    <row r="90" spans="1:1" x14ac:dyDescent="0.2">
      <c r="A90" s="436"/>
    </row>
    <row r="91" spans="1:1" x14ac:dyDescent="0.2">
      <c r="A91" s="436"/>
    </row>
    <row r="92" spans="1:1" x14ac:dyDescent="0.2">
      <c r="A92" s="436"/>
    </row>
    <row r="93" spans="1:1" x14ac:dyDescent="0.2">
      <c r="A93" s="436"/>
    </row>
    <row r="94" spans="1:1" x14ac:dyDescent="0.2">
      <c r="A94" s="436"/>
    </row>
    <row r="95" spans="1:1" x14ac:dyDescent="0.2">
      <c r="A95" s="436"/>
    </row>
    <row r="96" spans="1:1" x14ac:dyDescent="0.2">
      <c r="A96" s="436"/>
    </row>
    <row r="97" spans="1:1" x14ac:dyDescent="0.2">
      <c r="A97" s="436"/>
    </row>
    <row r="98" spans="1:1" x14ac:dyDescent="0.2">
      <c r="A98" s="436"/>
    </row>
    <row r="99" spans="1:1" x14ac:dyDescent="0.2">
      <c r="A99" s="436"/>
    </row>
    <row r="100" spans="1:1" x14ac:dyDescent="0.2">
      <c r="A100" s="436"/>
    </row>
    <row r="101" spans="1:1" x14ac:dyDescent="0.2">
      <c r="A101" s="436"/>
    </row>
    <row r="102" spans="1:1" x14ac:dyDescent="0.2">
      <c r="A102" s="436"/>
    </row>
    <row r="103" spans="1:1" x14ac:dyDescent="0.2">
      <c r="A103" s="436"/>
    </row>
    <row r="104" spans="1:1" x14ac:dyDescent="0.2">
      <c r="A104" s="436"/>
    </row>
    <row r="105" spans="1:1" x14ac:dyDescent="0.2">
      <c r="A105" s="436"/>
    </row>
    <row r="106" spans="1:1" x14ac:dyDescent="0.2">
      <c r="A106" s="436"/>
    </row>
    <row r="107" spans="1:1" x14ac:dyDescent="0.2">
      <c r="A107" s="436"/>
    </row>
    <row r="108" spans="1:1" x14ac:dyDescent="0.2">
      <c r="A108" s="436"/>
    </row>
    <row r="109" spans="1:1" x14ac:dyDescent="0.2">
      <c r="A109" s="436"/>
    </row>
    <row r="110" spans="1:1" x14ac:dyDescent="0.2">
      <c r="A110" s="436"/>
    </row>
    <row r="111" spans="1:1" x14ac:dyDescent="0.2">
      <c r="A111" s="436"/>
    </row>
    <row r="112" spans="1:1" x14ac:dyDescent="0.2">
      <c r="A112" s="436"/>
    </row>
    <row r="113" spans="1:1" x14ac:dyDescent="0.2">
      <c r="A113" s="436"/>
    </row>
    <row r="114" spans="1:1" x14ac:dyDescent="0.2">
      <c r="A114" s="436"/>
    </row>
    <row r="115" spans="1:1" x14ac:dyDescent="0.2">
      <c r="A115" s="436"/>
    </row>
    <row r="116" spans="1:1" x14ac:dyDescent="0.2">
      <c r="A116" s="436"/>
    </row>
    <row r="117" spans="1:1" x14ac:dyDescent="0.2">
      <c r="A117" s="436"/>
    </row>
    <row r="118" spans="1:1" x14ac:dyDescent="0.2">
      <c r="A118" s="436"/>
    </row>
    <row r="119" spans="1:1" x14ac:dyDescent="0.2">
      <c r="A119" s="436"/>
    </row>
    <row r="120" spans="1:1" x14ac:dyDescent="0.2">
      <c r="A120" s="436"/>
    </row>
    <row r="121" spans="1:1" x14ac:dyDescent="0.2">
      <c r="A121" s="436"/>
    </row>
    <row r="122" spans="1:1" x14ac:dyDescent="0.2">
      <c r="A122" s="436"/>
    </row>
    <row r="123" spans="1:1" x14ac:dyDescent="0.2">
      <c r="A123" s="436"/>
    </row>
    <row r="124" spans="1:1" x14ac:dyDescent="0.2">
      <c r="A124" s="436"/>
    </row>
    <row r="125" spans="1:1" x14ac:dyDescent="0.2">
      <c r="A125" s="436"/>
    </row>
    <row r="126" spans="1:1" x14ac:dyDescent="0.2">
      <c r="A126" s="436"/>
    </row>
    <row r="127" spans="1:1" x14ac:dyDescent="0.2">
      <c r="A127" s="436"/>
    </row>
    <row r="128" spans="1:1" x14ac:dyDescent="0.2">
      <c r="A128" s="436"/>
    </row>
  </sheetData>
  <sheetProtection password="C858" sheet="1" objects="1" scenarios="1"/>
  <phoneticPr fontId="13" type="noConversion"/>
  <conditionalFormatting sqref="J4:M30 AN4:AO30 Q4:V30 Y4:AL30">
    <cfRule type="cellIs" dxfId="8" priority="8" stopIfTrue="1" operator="equal">
      <formula>TRUE</formula>
    </cfRule>
    <cfRule type="cellIs" dxfId="7" priority="9" stopIfTrue="1" operator="equal">
      <formula>FALSE</formula>
    </cfRule>
  </conditionalFormatting>
  <conditionalFormatting sqref="N5:P30 O4:P4">
    <cfRule type="cellIs" dxfId="6" priority="10" stopIfTrue="1" operator="equal">
      <formula>25</formula>
    </cfRule>
  </conditionalFormatting>
  <conditionalFormatting sqref="I4:I30">
    <cfRule type="cellIs" dxfId="5" priority="6" stopIfTrue="1" operator="equal">
      <formula>TRUE</formula>
    </cfRule>
    <cfRule type="cellIs" dxfId="4" priority="7" stopIfTrue="1" operator="equal">
      <formula>FALSE</formula>
    </cfRule>
  </conditionalFormatting>
  <conditionalFormatting sqref="AP4:AP30">
    <cfRule type="cellIs" dxfId="3" priority="4" stopIfTrue="1" operator="equal">
      <formula>TRUE</formula>
    </cfRule>
    <cfRule type="cellIs" dxfId="2" priority="5" stopIfTrue="1" operator="equal">
      <formula>FALSE</formula>
    </cfRule>
  </conditionalFormatting>
  <conditionalFormatting sqref="W4:X30">
    <cfRule type="cellIs" dxfId="1" priority="2" stopIfTrue="1" operator="equal">
      <formula>TRUE</formula>
    </cfRule>
    <cfRule type="cellIs" dxfId="0" priority="3" stopIfTrue="1" operator="equal">
      <formula>FALSE</formula>
    </cfRule>
  </conditionalFormatting>
  <pageMargins left="0.74803149606299213" right="0.74803149606299213" top="0.98425196850393704" bottom="0.98425196850393704" header="0.51181102362204722" footer="0.51181102362204722"/>
  <pageSetup paperSize="9" scale="82" fitToWidth="2" fitToHeight="2" orientation="landscape" r:id="rId1"/>
  <headerFooter alignWithMargins="0"/>
  <rowBreaks count="1" manualBreakCount="1">
    <brk id="31" max="4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5"/>
  <sheetViews>
    <sheetView workbookViewId="0">
      <selection activeCell="C10" sqref="C10"/>
    </sheetView>
  </sheetViews>
  <sheetFormatPr defaultRowHeight="12.75" x14ac:dyDescent="0.2"/>
  <cols>
    <col min="2" max="2" width="11.42578125" customWidth="1"/>
    <col min="3" max="3" width="23.140625" customWidth="1"/>
    <col min="4" max="4" width="9.85546875" customWidth="1"/>
    <col min="6" max="6" width="11.5703125" style="1" customWidth="1"/>
  </cols>
  <sheetData>
    <row r="1" spans="1:7" ht="17.25" customHeight="1" x14ac:dyDescent="0.2">
      <c r="A1" s="328" t="s">
        <v>690</v>
      </c>
      <c r="B1" s="9"/>
      <c r="C1" s="9"/>
      <c r="D1" s="9"/>
      <c r="E1" s="9"/>
      <c r="F1" s="130"/>
    </row>
    <row r="2" spans="1:7" ht="13.5" x14ac:dyDescent="0.25">
      <c r="A2" s="326" t="s">
        <v>357</v>
      </c>
      <c r="B2" s="327" t="s">
        <v>367</v>
      </c>
      <c r="C2" s="326" t="s">
        <v>356</v>
      </c>
      <c r="D2" s="9" t="s">
        <v>604</v>
      </c>
      <c r="E2" s="326" t="s">
        <v>39</v>
      </c>
      <c r="F2" s="327" t="s">
        <v>605</v>
      </c>
    </row>
    <row r="3" spans="1:7" x14ac:dyDescent="0.2">
      <c r="A3" s="130" t="str">
        <f>IF(D3="","",'Team Data'!A$2)</f>
        <v/>
      </c>
      <c r="B3" s="130" t="str">
        <f>IF(D3="","",Entrants!D$10)</f>
        <v/>
      </c>
      <c r="C3" s="9" t="str">
        <f>IF(D3="","",Entrants!$I$10)</f>
        <v/>
      </c>
      <c r="D3" s="9" t="str">
        <f>'Cost Calc'!E40</f>
        <v/>
      </c>
      <c r="E3" s="9" t="str">
        <f>'Cost Calc'!F40</f>
        <v/>
      </c>
      <c r="F3" s="130" t="str">
        <f>'Cost Calc'!G40</f>
        <v xml:space="preserve"> </v>
      </c>
      <c r="G3" s="9"/>
    </row>
    <row r="4" spans="1:7" x14ac:dyDescent="0.2">
      <c r="A4" s="130" t="str">
        <f>IF(D4="","",'Team Data'!A$2)</f>
        <v/>
      </c>
      <c r="B4" s="130" t="str">
        <f>IF(D4="","",Entrants!D$10)</f>
        <v/>
      </c>
      <c r="C4" s="9" t="str">
        <f>IF(D4="","",Entrants!$I$10)</f>
        <v/>
      </c>
      <c r="D4" s="9" t="str">
        <f>'Cost Calc'!E41</f>
        <v/>
      </c>
      <c r="E4" s="9" t="str">
        <f>'Cost Calc'!F41</f>
        <v/>
      </c>
      <c r="F4" s="130" t="str">
        <f>'Cost Calc'!G41</f>
        <v xml:space="preserve"> </v>
      </c>
      <c r="G4" s="9"/>
    </row>
    <row r="5" spans="1:7" x14ac:dyDescent="0.2">
      <c r="A5" s="130" t="str">
        <f>IF(D5="","",'Team Data'!A$2)</f>
        <v/>
      </c>
      <c r="B5" s="130" t="str">
        <f>IF(D5="","",Entrants!D$10)</f>
        <v/>
      </c>
      <c r="C5" s="9" t="str">
        <f>IF(D5="","",Entrants!$I$10)</f>
        <v/>
      </c>
      <c r="D5" s="9" t="str">
        <f>'Cost Calc'!E42</f>
        <v/>
      </c>
      <c r="E5" s="9" t="str">
        <f>'Cost Calc'!F42</f>
        <v/>
      </c>
      <c r="F5" s="130" t="str">
        <f>'Cost Calc'!G42</f>
        <v xml:space="preserve"> </v>
      </c>
      <c r="G5" s="9"/>
    </row>
    <row r="6" spans="1:7" x14ac:dyDescent="0.2">
      <c r="A6" s="130" t="str">
        <f>IF(D6="","",'Team Data'!A$2)</f>
        <v/>
      </c>
      <c r="B6" s="130" t="str">
        <f>IF(D6="","",Entrants!D$10)</f>
        <v/>
      </c>
      <c r="C6" s="9" t="str">
        <f>IF(D6="","",Entrants!$I$10)</f>
        <v/>
      </c>
      <c r="D6" s="9" t="str">
        <f>'Cost Calc'!E43</f>
        <v/>
      </c>
      <c r="E6" s="9" t="str">
        <f>'Cost Calc'!F43</f>
        <v/>
      </c>
      <c r="F6" s="130" t="str">
        <f>'Cost Calc'!G43</f>
        <v xml:space="preserve"> </v>
      </c>
      <c r="G6" s="9"/>
    </row>
    <row r="7" spans="1:7" x14ac:dyDescent="0.2">
      <c r="A7" s="130" t="str">
        <f>IF(D7="","",'Team Data'!A$2)</f>
        <v/>
      </c>
      <c r="B7" s="130" t="str">
        <f>IF(D7="","",Entrants!D$10)</f>
        <v/>
      </c>
      <c r="C7" s="9" t="str">
        <f>IF(D7="","",Entrants!$I$10)</f>
        <v/>
      </c>
      <c r="D7" s="9" t="str">
        <f>'Cost Calc'!E44</f>
        <v/>
      </c>
      <c r="E7" s="9" t="str">
        <f>'Cost Calc'!F44</f>
        <v/>
      </c>
      <c r="F7" s="130" t="str">
        <f>'Cost Calc'!G44</f>
        <v xml:space="preserve"> </v>
      </c>
      <c r="G7" s="9"/>
    </row>
    <row r="8" spans="1:7" x14ac:dyDescent="0.2">
      <c r="A8" s="130" t="str">
        <f>IF(D8="","",'Team Data'!A$2)</f>
        <v/>
      </c>
      <c r="B8" s="130" t="str">
        <f>IF(D8="","",Entrants!D$10)</f>
        <v/>
      </c>
      <c r="C8" s="9" t="str">
        <f>IF(D8="","",Entrants!$I$10)</f>
        <v/>
      </c>
      <c r="D8" s="9" t="str">
        <f>'Cost Calc'!E45</f>
        <v/>
      </c>
      <c r="E8" s="9" t="str">
        <f>'Cost Calc'!F45</f>
        <v/>
      </c>
      <c r="F8" s="130" t="str">
        <f>'Cost Calc'!G45</f>
        <v xml:space="preserve"> </v>
      </c>
      <c r="G8" s="9"/>
    </row>
    <row r="9" spans="1:7" x14ac:dyDescent="0.2">
      <c r="A9" s="130" t="str">
        <f>IF(D9="","",'Team Data'!A$2)</f>
        <v/>
      </c>
      <c r="B9" s="130" t="str">
        <f>IF(D9="","",Entrants!D$10)</f>
        <v/>
      </c>
      <c r="C9" s="9" t="str">
        <f>IF(D9="","",Entrants!$I$10)</f>
        <v/>
      </c>
      <c r="D9" s="9" t="str">
        <f>'Cost Calc'!E46</f>
        <v/>
      </c>
      <c r="E9" s="9" t="str">
        <f>'Cost Calc'!F46</f>
        <v/>
      </c>
      <c r="F9" s="130" t="str">
        <f>'Cost Calc'!G46</f>
        <v xml:space="preserve"> </v>
      </c>
      <c r="G9" s="9"/>
    </row>
    <row r="10" spans="1:7" x14ac:dyDescent="0.2">
      <c r="A10" s="130" t="str">
        <f>IF(D10="","",'Team Data'!A$2)</f>
        <v/>
      </c>
      <c r="B10" s="130" t="str">
        <f>IF(D10="","",Entrants!D$10)</f>
        <v/>
      </c>
      <c r="C10" s="9" t="str">
        <f>IF(D10="","",Entrants!$I$10)</f>
        <v/>
      </c>
      <c r="D10" s="9" t="str">
        <f>'Cost Calc'!E47</f>
        <v/>
      </c>
      <c r="E10" s="9" t="str">
        <f>'Cost Calc'!F47</f>
        <v/>
      </c>
      <c r="F10" s="130" t="str">
        <f>'Cost Calc'!G47</f>
        <v xml:space="preserve"> </v>
      </c>
      <c r="G10" s="9"/>
    </row>
    <row r="11" spans="1:7" x14ac:dyDescent="0.2">
      <c r="A11" s="130" t="str">
        <f>IF(D11="","",'Team Data'!A$2)</f>
        <v/>
      </c>
      <c r="B11" s="130" t="str">
        <f>IF(D11="","",Entrants!D$10)</f>
        <v/>
      </c>
      <c r="C11" s="9" t="str">
        <f>IF(D11="","",Entrants!$I$10)</f>
        <v/>
      </c>
      <c r="D11" s="9" t="str">
        <f>'Cost Calc'!E48</f>
        <v/>
      </c>
      <c r="E11" s="9" t="str">
        <f>'Cost Calc'!F48</f>
        <v/>
      </c>
      <c r="F11" s="130" t="str">
        <f>'Cost Calc'!G48</f>
        <v xml:space="preserve"> </v>
      </c>
      <c r="G11" s="9"/>
    </row>
    <row r="12" spans="1:7" x14ac:dyDescent="0.2">
      <c r="A12" s="130" t="str">
        <f>IF(D12="","",'Team Data'!A$2)</f>
        <v/>
      </c>
      <c r="B12" s="130" t="str">
        <f>IF(D12="","",Entrants!D$10)</f>
        <v/>
      </c>
      <c r="C12" s="9" t="str">
        <f>IF(D12="","",Entrants!$I$10)</f>
        <v/>
      </c>
      <c r="D12" s="9" t="str">
        <f>'Cost Calc'!E49</f>
        <v/>
      </c>
      <c r="E12" s="9" t="str">
        <f>'Cost Calc'!F49</f>
        <v/>
      </c>
      <c r="F12" s="130" t="str">
        <f>'Cost Calc'!G49</f>
        <v xml:space="preserve"> </v>
      </c>
      <c r="G12" s="9"/>
    </row>
    <row r="13" spans="1:7" x14ac:dyDescent="0.2">
      <c r="A13" s="9"/>
      <c r="B13" s="9"/>
      <c r="C13" s="9"/>
      <c r="D13" s="9" t="str">
        <f>'Cost Calc'!E50</f>
        <v/>
      </c>
      <c r="E13" s="9" t="str">
        <f>'Cost Calc'!F50</f>
        <v/>
      </c>
      <c r="F13" s="130" t="str">
        <f>'Cost Calc'!G50</f>
        <v xml:space="preserve"> </v>
      </c>
      <c r="G13" s="9"/>
    </row>
    <row r="14" spans="1:7" x14ac:dyDescent="0.2">
      <c r="A14" s="9"/>
      <c r="B14" s="9"/>
      <c r="C14" s="9"/>
      <c r="D14" s="9" t="str">
        <f>'Cost Calc'!E51</f>
        <v/>
      </c>
      <c r="E14" s="9" t="str">
        <f>'Cost Calc'!F51</f>
        <v/>
      </c>
      <c r="F14" s="130" t="str">
        <f>'Cost Calc'!G51</f>
        <v xml:space="preserve"> </v>
      </c>
      <c r="G14" s="9"/>
    </row>
    <row r="15" spans="1:7" x14ac:dyDescent="0.2">
      <c r="A15" s="9"/>
      <c r="B15" s="9"/>
      <c r="C15" s="9"/>
      <c r="D15" s="9"/>
      <c r="E15" s="9"/>
      <c r="F15" s="130"/>
      <c r="G15" s="9"/>
    </row>
  </sheetData>
  <sheetProtection password="C858" sheet="1" objects="1" scenarios="1"/>
  <phoneticPr fontId="13"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33"/>
  <sheetViews>
    <sheetView workbookViewId="0">
      <selection activeCell="B9" sqref="B9"/>
    </sheetView>
  </sheetViews>
  <sheetFormatPr defaultRowHeight="12.75" x14ac:dyDescent="0.2"/>
  <cols>
    <col min="1" max="1" width="9.42578125" customWidth="1"/>
    <col min="2" max="2" width="159.85546875" customWidth="1"/>
    <col min="3" max="3" width="3.28515625" style="284" customWidth="1"/>
  </cols>
  <sheetData>
    <row r="2" spans="1:3" s="267" customFormat="1" ht="21" customHeight="1" x14ac:dyDescent="0.2">
      <c r="A2" s="267" t="s">
        <v>1409</v>
      </c>
      <c r="C2" s="283">
        <f>IF(COUNTBLANK(B3:B29)=27,0,27-(COUNTBLANK(B3:B29)))</f>
        <v>0</v>
      </c>
    </row>
    <row r="3" spans="1:3" x14ac:dyDescent="0.2">
      <c r="B3" t="str">
        <f>IF(OR(COUNTBLANK(Entrants!Y17)=0,COUNTBLANK(Entrants!BH17)=0),CONCATENATE("Row ",Entrants!A17," ",Entrants!B17," ",Entrants!C17," ",Entrants!Y17,"; ",Entrants!BH17," ",),"")</f>
        <v/>
      </c>
    </row>
    <row r="4" spans="1:3" x14ac:dyDescent="0.2">
      <c r="B4" t="str">
        <f>IF(OR(COUNTBLANK(Entrants!Y18)=0,COUNTBLANK(Entrants!BH18)=0),CONCATENATE("Row ",Entrants!A18," ",Entrants!B18," ",Entrants!C18," ",Entrants!Y18,"; ",Entrants!BH18," ",),"")</f>
        <v/>
      </c>
    </row>
    <row r="5" spans="1:3" x14ac:dyDescent="0.2">
      <c r="B5" t="str">
        <f>IF(OR(COUNTBLANK(Entrants!Y19)=0,COUNTBLANK(Entrants!BH19)=0),CONCATENATE("Row ",Entrants!A19," ",Entrants!B19," ",Entrants!C19," ",Entrants!Y19,"; ",Entrants!BH19," ",),"")</f>
        <v/>
      </c>
    </row>
    <row r="6" spans="1:3" x14ac:dyDescent="0.2">
      <c r="B6" t="str">
        <f>IF(OR(COUNTBLANK(Entrants!Y20)=0,COUNTBLANK(Entrants!BH20)=0),CONCATENATE("Row ",Entrants!A20," ",Entrants!B20," ",Entrants!C20," ",Entrants!Y20,"; ",Entrants!BH20," ",),"")</f>
        <v/>
      </c>
    </row>
    <row r="7" spans="1:3" x14ac:dyDescent="0.2">
      <c r="B7" t="str">
        <f>IF(OR(COUNTBLANK(Entrants!Y21)=0,COUNTBLANK(Entrants!BH21)=0),CONCATENATE("Row ",Entrants!A21," ",Entrants!B21," ",Entrants!C21," ",Entrants!Y21,"; ",Entrants!BH21," ",),"")</f>
        <v/>
      </c>
    </row>
    <row r="8" spans="1:3" x14ac:dyDescent="0.2">
      <c r="B8" t="str">
        <f>IF(OR(COUNTBLANK(Entrants!Y22)=0,COUNTBLANK(Entrants!BH22)=0),CONCATENATE("Row ",Entrants!A22," ",Entrants!B22," ",Entrants!C22," ",Entrants!Y22,"; ",Entrants!BH22," ",),"")</f>
        <v/>
      </c>
    </row>
    <row r="9" spans="1:3" x14ac:dyDescent="0.2">
      <c r="B9" t="str">
        <f>IF(OR(COUNTBLANK(Entrants!Y23)=0,COUNTBLANK(Entrants!BH23)=0),CONCATENATE("Row ",Entrants!A23," ",Entrants!B23," ",Entrants!C23," ",Entrants!Y23,"; ",Entrants!BH23," ",),"")</f>
        <v/>
      </c>
    </row>
    <row r="10" spans="1:3" x14ac:dyDescent="0.2">
      <c r="B10" t="str">
        <f>IF(OR(COUNTBLANK(Entrants!Y24)=0,COUNTBLANK(Entrants!BH24)=0),CONCATENATE("Row ",Entrants!A24," ",Entrants!B24," ",Entrants!C24," ",Entrants!Y24,"; ",Entrants!BH24," ",),"")</f>
        <v/>
      </c>
    </row>
    <row r="11" spans="1:3" x14ac:dyDescent="0.2">
      <c r="B11" t="str">
        <f>IF(OR(COUNTBLANK(Entrants!Y25)=0,COUNTBLANK(Entrants!BH25)=0),CONCATENATE("Row ",Entrants!A25," ",Entrants!B25," ",Entrants!C25," ",Entrants!Y25,"; ",Entrants!BH25," ",),"")</f>
        <v/>
      </c>
    </row>
    <row r="12" spans="1:3" x14ac:dyDescent="0.2">
      <c r="B12" t="str">
        <f>IF(OR(COUNTBLANK(Entrants!Y26)=0,COUNTBLANK(Entrants!BH26)=0),CONCATENATE("Row ",Entrants!A26," ",Entrants!B26," ",Entrants!C26," ",Entrants!Y26,"; ",Entrants!BH26," ",),"")</f>
        <v/>
      </c>
    </row>
    <row r="13" spans="1:3" x14ac:dyDescent="0.2">
      <c r="B13" t="str">
        <f>IF(OR(COUNTBLANK(Entrants!Y27)=0,COUNTBLANK(Entrants!BH27)=0),CONCATENATE("Row ",Entrants!A27," ",Entrants!B27," ",Entrants!C27," ",Entrants!Y27,"; ",Entrants!BH27," ",),"")</f>
        <v/>
      </c>
    </row>
    <row r="14" spans="1:3" x14ac:dyDescent="0.2">
      <c r="B14" t="str">
        <f>IF(OR(COUNTBLANK(Entrants!Y28)=0,COUNTBLANK(Entrants!BH28)=0),CONCATENATE("Row ",Entrants!A28," ",Entrants!B28," ",Entrants!C28," ",Entrants!Y28,"; ",Entrants!BH28," ",),"")</f>
        <v/>
      </c>
    </row>
    <row r="15" spans="1:3" x14ac:dyDescent="0.2">
      <c r="B15" t="str">
        <f>IF(OR(COUNTBLANK(Entrants!Y29)=0,COUNTBLANK(Entrants!BH29)=0),CONCATENATE("Row ",Entrants!A29," ",Entrants!B29," ",Entrants!C29," ",Entrants!Y29,"; ",Entrants!BH29," ",),"")</f>
        <v/>
      </c>
    </row>
    <row r="16" spans="1:3" x14ac:dyDescent="0.2">
      <c r="B16" t="str">
        <f>IF(OR(COUNTBLANK(Entrants!Y30)=0,COUNTBLANK(Entrants!BH30)=0),CONCATENATE("Row ",Entrants!A30," ",Entrants!B30," ",Entrants!C30," ",Entrants!Y30,"; ",Entrants!BH30," ",),"")</f>
        <v/>
      </c>
    </row>
    <row r="17" spans="1:3" x14ac:dyDescent="0.2">
      <c r="B17" t="str">
        <f>IF(OR(COUNTBLANK(Entrants!Y31)=0,COUNTBLANK(Entrants!BH31)=0),CONCATENATE("Row ",Entrants!A31," ",Entrants!B31," ",Entrants!C31," ",Entrants!Y31,"; ",Entrants!BH31," ",),"")</f>
        <v/>
      </c>
    </row>
    <row r="18" spans="1:3" x14ac:dyDescent="0.2">
      <c r="B18" t="str">
        <f>IF(OR(COUNTBLANK(Entrants!Y32)=0,COUNTBLANK(Entrants!BH32)=0),CONCATENATE("Row ",Entrants!A32," ",Entrants!B32," ",Entrants!C32," ",Entrants!Y32,"; ",Entrants!BH32," ",),"")</f>
        <v/>
      </c>
    </row>
    <row r="19" spans="1:3" x14ac:dyDescent="0.2">
      <c r="B19" t="str">
        <f>IF(OR(COUNTBLANK(Entrants!Y33)=0,COUNTBLANK(Entrants!BH33)=0),CONCATENATE("Row ",Entrants!A33," ",Entrants!B33," ",Entrants!C33," ",Entrants!Y33,"; ",Entrants!BH33," ",),"")</f>
        <v/>
      </c>
    </row>
    <row r="20" spans="1:3" x14ac:dyDescent="0.2">
      <c r="B20" t="str">
        <f>IF(OR(COUNTBLANK(Entrants!Y34)=0,COUNTBLANK(Entrants!BH34)=0),CONCATENATE("Row ",Entrants!A34," ",Entrants!B34," ",Entrants!C34," ",Entrants!Y34,"; ",Entrants!BH34," ",),"")</f>
        <v/>
      </c>
    </row>
    <row r="21" spans="1:3" x14ac:dyDescent="0.2">
      <c r="B21" t="str">
        <f>IF(OR(COUNTBLANK(Entrants!Y35)=0,COUNTBLANK(Entrants!BH35)=0),CONCATENATE("Row ",Entrants!A35," ",Entrants!B35," ",Entrants!C35," ",Entrants!Y35,"; ",Entrants!BH35," ",),"")</f>
        <v/>
      </c>
    </row>
    <row r="22" spans="1:3" x14ac:dyDescent="0.2">
      <c r="B22" t="str">
        <f>IF(OR(COUNTBLANK(Entrants!Y36)=0,COUNTBLANK(Entrants!BH36)=0),CONCATENATE("Row ",Entrants!A36," ",Entrants!B36," ",Entrants!C36," ",Entrants!Y36,"; ",Entrants!BH36," ",),"")</f>
        <v/>
      </c>
    </row>
    <row r="23" spans="1:3" x14ac:dyDescent="0.2">
      <c r="B23" t="str">
        <f>IF(OR(COUNTBLANK(Entrants!Y37)=0,COUNTBLANK(Entrants!BH37)=0),CONCATENATE("Row ",Entrants!A37," ",Entrants!B37," ",Entrants!C37," ",Entrants!Y37,"; ",Entrants!BH37," ",),"")</f>
        <v/>
      </c>
    </row>
    <row r="24" spans="1:3" x14ac:dyDescent="0.2">
      <c r="B24" t="str">
        <f>IF(OR(COUNTBLANK(Entrants!Y38)=0,COUNTBLANK(Entrants!BH38)=0),CONCATENATE("Row ",Entrants!A38," ",Entrants!B38," ",Entrants!C38," ",Entrants!Y38,"; ",Entrants!BH38," ",),"")</f>
        <v/>
      </c>
    </row>
    <row r="25" spans="1:3" x14ac:dyDescent="0.2">
      <c r="B25" t="str">
        <f>IF(OR(COUNTBLANK(Entrants!Y39)=0,COUNTBLANK(Entrants!BH39)=0),CONCATENATE("Row ",Entrants!A39," ",Entrants!B39," ",Entrants!C39," ",Entrants!Y39,"; ",Entrants!BH39," ",),"")</f>
        <v/>
      </c>
    </row>
    <row r="26" spans="1:3" x14ac:dyDescent="0.2">
      <c r="B26" t="str">
        <f>IF(OR(COUNTBLANK(Entrants!Y40)=0,COUNTBLANK(Entrants!BH40)=0),CONCATENATE("Row ",Entrants!A40," ",Entrants!B40," ",Entrants!C40," ",Entrants!Y40,"; ",Entrants!BH40," ",),"")</f>
        <v/>
      </c>
    </row>
    <row r="27" spans="1:3" x14ac:dyDescent="0.2">
      <c r="B27" t="str">
        <f>IF(OR(COUNTBLANK(Entrants!Y41)=0,COUNTBLANK(Entrants!BH41)=0),CONCATENATE("Row ",Entrants!A41," ",Entrants!B41," ",Entrants!C41," ",Entrants!Y41,"; ",Entrants!BH41," ",),"")</f>
        <v/>
      </c>
    </row>
    <row r="28" spans="1:3" x14ac:dyDescent="0.2">
      <c r="B28" t="str">
        <f>IF(OR(COUNTBLANK(Entrants!Y42)=0,COUNTBLANK(Entrants!BH42)=0),CONCATENATE("Row ",Entrants!A42," ",Entrants!B42," ",Entrants!C42," ",Entrants!Y42,"; ",Entrants!BH42," ",),"")</f>
        <v/>
      </c>
    </row>
    <row r="29" spans="1:3" x14ac:dyDescent="0.2">
      <c r="B29" t="str">
        <f>IF(OR(COUNTBLANK(Entrants!Y43)=0,COUNTBLANK(Entrants!BH43)=0),CONCATENATE("Row ",Entrants!A43," ",Entrants!B43," ",Entrants!C43," ",Entrants!Y43,"; ",Entrants!BH43," ",),"")</f>
        <v/>
      </c>
    </row>
    <row r="30" spans="1:3" x14ac:dyDescent="0.2">
      <c r="A30" s="134" t="s">
        <v>468</v>
      </c>
      <c r="C30" s="283">
        <f>IF(COUNTBLANK(B31)=1,0,Entrants!BJ45-C2)</f>
        <v>0</v>
      </c>
    </row>
    <row r="31" spans="1:3" ht="93" customHeight="1" x14ac:dyDescent="0.2">
      <c r="B31" s="266" t="str">
        <f>CONCATENATE(Entrants!Y10,"; ",Entrants!Y44)</f>
        <v xml:space="preserve">; </v>
      </c>
    </row>
    <row r="32" spans="1:3" ht="18" customHeight="1" x14ac:dyDescent="0.2">
      <c r="A32" s="267" t="s">
        <v>469</v>
      </c>
      <c r="B32" s="266"/>
      <c r="C32" s="283">
        <f>IF(COUNTBLANK(B33)=1,0,Entrants!B45)</f>
        <v>0</v>
      </c>
    </row>
    <row r="33" spans="2:2" ht="37.5" customHeight="1" x14ac:dyDescent="0.2">
      <c r="B33" s="266" t="str">
        <f>Entrants!C45</f>
        <v/>
      </c>
    </row>
  </sheetData>
  <pageMargins left="0.7" right="0.7" top="0.75" bottom="0.75" header="0.3" footer="0.3"/>
  <pageSetup paperSize="9"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Instructions</vt:lpstr>
      <vt:lpstr>Entrants</vt:lpstr>
      <vt:lpstr>Cost Calc</vt:lpstr>
      <vt:lpstr>Group</vt:lpstr>
      <vt:lpstr>Supplementary</vt:lpstr>
      <vt:lpstr>Team Data</vt:lpstr>
      <vt:lpstr>Entrant Data</vt:lpstr>
      <vt:lpstr>CampOnly Data</vt:lpstr>
      <vt:lpstr>Error Report</vt:lpstr>
      <vt:lpstr>LastYrList</vt:lpstr>
      <vt:lpstr>Major_Errors</vt:lpstr>
      <vt:lpstr>'CampOnly Data'!Print_Area</vt:lpstr>
      <vt:lpstr>'Cost Calc'!Print_Area</vt:lpstr>
      <vt:lpstr>'Entrant Data'!Print_Area</vt:lpstr>
      <vt:lpstr>Entrants!Print_Area</vt:lpstr>
      <vt:lpstr>'Error Report'!Print_Area</vt:lpstr>
      <vt:lpstr>Group!Print_Area</vt:lpstr>
      <vt:lpstr>Instructions!Print_Area</vt:lpstr>
      <vt:lpstr>Supplementary!Print_Area</vt:lpstr>
      <vt:lpstr>'Team Data'!Print_Area</vt:lpstr>
      <vt:lpstr>Q_Date</vt:lpstr>
      <vt:lpstr>Youngest_Entrant_Age</vt:lpstr>
      <vt:lpstr>Youngest_Entrant_DoB</vt:lpstr>
      <vt:lpstr>Youngest_FB_Age</vt:lpstr>
      <vt:lpstr>Youngest_FB_DoB</vt:lpstr>
      <vt:lpstr>Youngest_SB_Age</vt:lpstr>
      <vt:lpstr>Youngest_SB_DoB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cp:lastPrinted>2016-10-11T09:45:32Z</cp:lastPrinted>
  <dcterms:created xsi:type="dcterms:W3CDTF">2011-03-01T11:08:46Z</dcterms:created>
  <dcterms:modified xsi:type="dcterms:W3CDTF">2017-04-05T12:42:38Z</dcterms:modified>
</cp:coreProperties>
</file>